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firstSheet="1" activeTab="1"/>
  </bookViews>
  <sheets>
    <sheet name="2016 balans" sheetId="1" r:id="rId1"/>
    <sheet name="2016-" sheetId="2" r:id="rId2"/>
  </sheets>
  <definedNames>
    <definedName name="_xlnm.Print_Area" localSheetId="1">'2016-'!$A$2:$L$99</definedName>
    <definedName name="_xlnm.Print_Area" localSheetId="0">'2016 balans'!$A$1:$AY$101</definedName>
    <definedName name="_xlnm.Print_Titles" localSheetId="0">'2016 balans'!$8:$8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H9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պակասացվել է համաձայն 18.09.2015թ ակտի հիման վրա</t>
        </r>
      </text>
    </comment>
    <comment ref="Q9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պակասացվել է համաձայն 18.09.2015թ ակտի հիման վրա</t>
        </r>
      </text>
    </comment>
  </commentList>
</comments>
</file>

<file path=xl/sharedStrings.xml><?xml version="1.0" encoding="utf-8"?>
<sst xmlns="http://schemas.openxmlformats.org/spreadsheetml/2006/main" count="456" uniqueCount="185">
  <si>
    <t>î º Ô º Î ² Ü ø</t>
  </si>
  <si>
    <t>Ñ/Ñ</t>
  </si>
  <si>
    <t>ÙÉÝ.ÏíïÅ.</t>
  </si>
  <si>
    <t>§Ø¾Î¦ ö´À</t>
  </si>
  <si>
    <t xml:space="preserve">ê»÷³Ï³Ý Ï³ñÇùÝ»ñ </t>
  </si>
  <si>
    <t xml:space="preserve"> </t>
  </si>
  <si>
    <t>¾É. ¿Ý»ñ·³ÛÇ ³é³ùáõÙ ¿É. Ï³Û³ÝÝ»ñÇó</t>
  </si>
  <si>
    <t>ÎáñáõëïÝ»ñ 110 Ïí É³ñÙ³Ý ó³Ýó»ñáõÙ</t>
  </si>
  <si>
    <t>¾É. ¿Ý.ï»ËÝÇÏ³Ï³Ý ÏáñáõëïÝ»ñÁ 110Ïí  É³ñÙ³Ý ó³ÝóáõÙ</t>
  </si>
  <si>
    <t>§Ð²¾Î¦ö´À</t>
  </si>
  <si>
    <t>ÆÆÐ</t>
  </si>
  <si>
    <t>ìñ³ëï³Ý</t>
  </si>
  <si>
    <t xml:space="preserve">  ¾É.¾Ý»ñ·Ç³ÛÇ ³ñï³¹ñáõÃÛ³Ý ¨ ³é³ùÙ³Ý  í»ñ³µ»ñÛ³É</t>
  </si>
  <si>
    <t xml:space="preserve"> Ðñ³½æ¾Î ´´À</t>
  </si>
  <si>
    <t>§Ð²¾Î¦ ö´À</t>
  </si>
  <si>
    <t>§Ðñ³½æ¾Î¦´´À</t>
  </si>
  <si>
    <t>§ºñ¨³ÝÇ  æ¾Î¦ö´À</t>
  </si>
  <si>
    <t>§ºñ¨³ÝÇ  æ¾Î¦ö´À(ßá·»·³½ Ñ³Ù³Ïó.óÇÏÉáí ³ßË.¿Ý.µÉáÏ)</t>
  </si>
  <si>
    <t>¾É»Ïñ³Ï³Ý ¿Ý»ñ·Ç³ÛÇ ³ñï³¹ñ³ÝùÁ</t>
  </si>
  <si>
    <t>1,2</t>
  </si>
  <si>
    <t>æ»ñÙ³ÛÇÝ Ï³Û³ÝÝ»ñ</t>
  </si>
  <si>
    <t>1.2.1</t>
  </si>
  <si>
    <t>1.2.2</t>
  </si>
  <si>
    <t>1.2.3</t>
  </si>
  <si>
    <t>1.3</t>
  </si>
  <si>
    <t>ÐÇ¹ñáÏ³Û³ÝÝ»ñ + ÷áùñ ¿É.Ï³Û³ÝÝ»ñ</t>
  </si>
  <si>
    <t>1.3.1</t>
  </si>
  <si>
    <t>1.3.2</t>
  </si>
  <si>
    <t>1.3.4</t>
  </si>
  <si>
    <t>2.1</t>
  </si>
  <si>
    <t>2.2</t>
  </si>
  <si>
    <t>2.3</t>
  </si>
  <si>
    <t>2.4</t>
  </si>
  <si>
    <t>2.5</t>
  </si>
  <si>
    <t>2.6</t>
  </si>
  <si>
    <t>2.7</t>
  </si>
  <si>
    <t>2.8</t>
  </si>
  <si>
    <t>öáùñ ¿É»Ïïñ³Ï³Û³ÝÝ»ñ</t>
  </si>
  <si>
    <t>3.1</t>
  </si>
  <si>
    <t>3.2</t>
  </si>
  <si>
    <t>3.3</t>
  </si>
  <si>
    <t>3.4</t>
  </si>
  <si>
    <t>3.5</t>
  </si>
  <si>
    <t>3.6</t>
  </si>
  <si>
    <t>3.7</t>
  </si>
  <si>
    <t xml:space="preserve">§´¾ò¦ ö´À ÁÝ¹áõÝ³Í ¿É. ¿Ý»ñ·Ç³Ý </t>
  </si>
  <si>
    <t>4.1</t>
  </si>
  <si>
    <t>4.2</t>
  </si>
  <si>
    <t>4.3</t>
  </si>
  <si>
    <t>4.5</t>
  </si>
  <si>
    <t>4.6</t>
  </si>
  <si>
    <t>4.7</t>
  </si>
  <si>
    <t>4.8</t>
  </si>
  <si>
    <t>4.4</t>
  </si>
  <si>
    <t>5.1</t>
  </si>
  <si>
    <t>5.2</t>
  </si>
  <si>
    <t>¾É»Ïïñ³Ï³Ý ¿Ý»ñ·Ç³ÛÇ Ý»ñÑáëù</t>
  </si>
  <si>
    <t>5.2.1</t>
  </si>
  <si>
    <t>5.2.2</t>
  </si>
  <si>
    <t>5.2.3</t>
  </si>
  <si>
    <t>¾É.¿Ý. ÷³ëï³óÇ ÏáñáõëïÝ»ñÁ §´¾ò ¦ ö´À 220-110Ïí É³ñÙ³Ý ó³Ýó»ñáõÙ</t>
  </si>
  <si>
    <t>6.1</t>
  </si>
  <si>
    <t>ìñ³ëï³ÝÇó Ý»ñÏñí³Í ¿É. ¿Ý»ñ·Ç³ÛÇ Ù³ëáí</t>
  </si>
  <si>
    <t>§Ð¾ò¦ ö´À í»ñ³·ñí³Í Ïáñáõëï</t>
  </si>
  <si>
    <t xml:space="preserve">§´¾ò¦ ö´À Ñ³ÝÓÝ³Í ¿É. ¿Ý»ñ·Ç³Ý(5-6) </t>
  </si>
  <si>
    <t>% (6:5)</t>
  </si>
  <si>
    <t>7.1</t>
  </si>
  <si>
    <t>§Ð¾ò¦ ö´À (7-7.2)</t>
  </si>
  <si>
    <t>7.2</t>
  </si>
  <si>
    <t>¾É»Ïïñ³Ï³Ý ¿Ý»ñ·Ç³ÛÇ ³ñï³Ñáëù</t>
  </si>
  <si>
    <t>7.2.1</t>
  </si>
  <si>
    <t>7.2.2</t>
  </si>
  <si>
    <t>7.2.3</t>
  </si>
  <si>
    <t>²ñó³Ë 110Ïí ú¶</t>
  </si>
  <si>
    <t>8.1</t>
  </si>
  <si>
    <t>8.2</t>
  </si>
  <si>
    <t>8.3</t>
  </si>
  <si>
    <t>8.4</t>
  </si>
  <si>
    <t>8.5</t>
  </si>
  <si>
    <t>8.7</t>
  </si>
  <si>
    <t>8.8</t>
  </si>
  <si>
    <t>10.1</t>
  </si>
  <si>
    <t>10.2</t>
  </si>
  <si>
    <t>ê³É¹á(7.2.2 - 5.2.2)</t>
  </si>
  <si>
    <t>35 ¨ 6 Ïí ·Í»ñáí</t>
  </si>
  <si>
    <t>¾É. ¿Ý»ñ·Ç³ÛÇ ÏáñáõëïÝ»ñ (Ý»ñ³éÛ³É ã³÷³·Çï³Ï³Ý ëË³É³ÝùÝ»ñÁ)   áõÅ³ÛÇÝ ïñ³ÝëýáñÙ³ïñÝ»ñáõÙ(1-2-4)</t>
  </si>
  <si>
    <t>10,3</t>
  </si>
  <si>
    <t>Éñ³óáõóÇã ³Ïïáí</t>
  </si>
  <si>
    <t>6.3</t>
  </si>
  <si>
    <t>Արցախից հանձնած էլ էներգիայի մասով</t>
  </si>
  <si>
    <t xml:space="preserve"> փ»ïñí³ñ   </t>
  </si>
  <si>
    <t>Ð³Ù»Ù³ïáõÃÛáõÝ</t>
  </si>
  <si>
    <t xml:space="preserve"> հáõÝí³ñ-մարտ</t>
  </si>
  <si>
    <t xml:space="preserve"> հáõÝí³ñ        </t>
  </si>
  <si>
    <t xml:space="preserve">II ºé³ÙëÛ³Ï </t>
  </si>
  <si>
    <t>III ºé³ÙëÛ³Ï</t>
  </si>
  <si>
    <t>IV ºé³ÙëÛ³Ï</t>
  </si>
  <si>
    <t xml:space="preserve">            áñÇóª Հայաստան ցանցեր</t>
  </si>
  <si>
    <t>աåñÇÉ</t>
  </si>
  <si>
    <t>մ³ÛÇë</t>
  </si>
  <si>
    <t>háõÝÇë</t>
  </si>
  <si>
    <t>հáõÉÇë</t>
  </si>
  <si>
    <t>ՙՙ</t>
  </si>
  <si>
    <t>մլն կվտժ</t>
  </si>
  <si>
    <t>ս»åï»Ùµ»ñ</t>
  </si>
  <si>
    <t>հáÏï»Ùµ»ñ</t>
  </si>
  <si>
    <t xml:space="preserve">դ»Ïï»Ùµ»ñ </t>
  </si>
  <si>
    <t xml:space="preserve"> հáõÝí³ñ-դեկտեմբեր</t>
  </si>
  <si>
    <t>«</t>
  </si>
  <si>
    <t>§Ð¾ò¦ ö´À ¿É»Ïïñ³Ï³Ý ¿Ý»ñ·Ç³ÛÇ Ùáõïù (³Ïï»ñáí)</t>
  </si>
  <si>
    <t>§Գազպրոմ Արմենիա¦ ՓԲԸ (Հրազդան-5)</t>
  </si>
  <si>
    <t>մ³ñï</t>
  </si>
  <si>
    <t>6,6</t>
  </si>
  <si>
    <t>Հրազ ՋԷԿ ԲԲԸ արտահանված էլ.էներգիայի մասով</t>
  </si>
  <si>
    <t>§Գազպրոմ Արմենիա¦ ՓԲԸ -ից Վրաստան արտահանված էլ. Էն. մասով</t>
  </si>
  <si>
    <t>2015թ</t>
  </si>
  <si>
    <t>հունվար              ամիսների</t>
  </si>
  <si>
    <t>6,7</t>
  </si>
  <si>
    <t>§Գազպրոմ Արմենիա¦ ՓԲԸ (Երևան ՋԷԿ հանձնած էլ. Էն. մասով)</t>
  </si>
  <si>
    <t>Երևանի ՋԷԿ ՓԲԸ (շոգ.համ.ցիկ.աշխ. Էն. բլոկ)ԻԻՀ արտանված էլ.էն.մասով</t>
  </si>
  <si>
    <t>Ð³ßí»ÏßéÙ³Ý ¿É»Ïïñ³¿Ý»ñ·Ç³ (ՀԷՑ ՓԲԸ-ից Երևանի ՋԷԿ ՓԲԸ-ին)</t>
  </si>
  <si>
    <t xml:space="preserve">            որից՝ Հայաստան ցանցեր</t>
  </si>
  <si>
    <t>1.3.3</t>
  </si>
  <si>
    <t>8.9</t>
  </si>
  <si>
    <t>-0,220315</t>
  </si>
  <si>
    <t xml:space="preserve">o·áëïáë  </t>
  </si>
  <si>
    <t>ԲԷՑ ՓԲԸ (համաձայն 03.08.2015թ ENA-15-23 պայմնագրի)</t>
  </si>
  <si>
    <t>8.10</t>
  </si>
  <si>
    <t xml:space="preserve">նáÛ»Ùµ»ñ </t>
  </si>
  <si>
    <t>էլ. Էներգիա արտադրող կայաններ</t>
  </si>
  <si>
    <t>2016թ</t>
  </si>
  <si>
    <t xml:space="preserve">I ºé³ÙëÛ³Ï </t>
  </si>
  <si>
    <t xml:space="preserve">§Ð¾ò¦ ö´À </t>
  </si>
  <si>
    <t>ÏáÕÙÇó ¿É.¿Ý. í³×³éù§²ñó³Ë¿Ý»ñ·á¦ö´À (10.1+10.2)</t>
  </si>
  <si>
    <t xml:space="preserve">բ³ó³ñÓ³Ï Ù»ÍáõÃÛ³Ùµ      ( տող 3-տող4)       </t>
  </si>
  <si>
    <t xml:space="preserve">%- áí      (տող3:տող4) </t>
  </si>
  <si>
    <t xml:space="preserve"> հáõÝí³ñ-փետրվար</t>
  </si>
  <si>
    <t>փետրվար           ամիսների</t>
  </si>
  <si>
    <t>հունվար-փետրվար              ամիսների</t>
  </si>
  <si>
    <t>§Ð¾ò¦ ö´À (համաձայն 23.11.2015թ. ENA-15-31 պայմնագրի)</t>
  </si>
  <si>
    <t>¿É»Ïïñ³Ï³Ý Ï³Û³ÝÝ»ñÇó(4-4.8)</t>
  </si>
  <si>
    <t xml:space="preserve">բ³ó³ñÓ³Ï Ù»ÍáõÃÛ³Ùµ      ( սյ. 3-սյ.5)       </t>
  </si>
  <si>
    <t xml:space="preserve">%- áí      (սյ.3:սյ.5) </t>
  </si>
  <si>
    <t xml:space="preserve">բ³ó³ñÓ³Ï Ù»ÍáõÃÛ³Ùµ      ( սյ. 4-սյ.6)       </t>
  </si>
  <si>
    <t xml:space="preserve">%- áí      (սյ.4:սյ.6) </t>
  </si>
  <si>
    <t>Քոնթուր Գլոբալ Հիդրո Կասկադ ՓԲԸ   (մինչև 01.07.2015թ՝ §àñáï³ÝÇ  Ð¾ÎÐ¦ö´À)</t>
  </si>
  <si>
    <t>Քոնթուր Գլոբալ Հիդրո Կասկադ ՓԲԸ  (մինչև 01.07.2015թ՝ §àñáï³ÝÇ  Ð¾ÎÐ¦ö´À)</t>
  </si>
  <si>
    <t>Քոնթուր Գլոբալ Հիդրո Կասկադ ՓԲԸ (մինչև 01.07.2015թ՝ §àñáï³ÝÇ  Ð¾ÎÐ¦ö´À)</t>
  </si>
  <si>
    <t>6,3</t>
  </si>
  <si>
    <t>Քոնթուր Գլոբալ Հիդրո Կասկադ ՓԲԸ մինչև 01.07.2015թ՝ §àñáï³ÝÇ  Ð¾ÎÐ¦ö´À)</t>
  </si>
  <si>
    <r>
      <t>§Òáñ³·»ï ÐÇ¹ñá ¦ êäÀ (</t>
    </r>
    <r>
      <rPr>
        <sz val="10"/>
        <rFont val="Calibri"/>
        <family val="2"/>
      </rPr>
      <t xml:space="preserve"> </t>
    </r>
    <r>
      <rPr>
        <sz val="10"/>
        <rFont val="Times Armenian"/>
        <family val="1"/>
      </rPr>
      <t xml:space="preserve">մինչև 01.08.2015թ՝ </t>
    </r>
    <r>
      <rPr>
        <sz val="10"/>
        <rFont val="Calibri"/>
        <family val="2"/>
      </rPr>
      <t>«</t>
    </r>
    <r>
      <rPr>
        <sz val="10"/>
        <rFont val="Times Armenian"/>
        <family val="1"/>
      </rPr>
      <t>Òáñ³</t>
    </r>
    <r>
      <rPr>
        <sz val="10"/>
        <rFont val="Calibri"/>
        <family val="2"/>
      </rPr>
      <t>»</t>
    </r>
    <r>
      <rPr>
        <sz val="10"/>
        <rFont val="Times Armenian"/>
        <family val="1"/>
      </rPr>
      <t xml:space="preserve"> Ð¿Î)</t>
    </r>
  </si>
  <si>
    <t>11.03.2016թ</t>
  </si>
  <si>
    <t>¾É. ¿Ý»ñ·Ç³ÛÇ ëå³éáõÙÁ ÐÐ Ý»ñùÇÝ ßáõÏ³ÛáõÙ (9-10)</t>
  </si>
  <si>
    <t>§Ð¾ò¦ ö´À ¿É»Ïïñ³Ï³Ý ¿Ý»ñ·Ç³ÛÇ ÙáõïùÁ ³é³Ýó ÏáñáõëïÝ»ñÇ      (8-6.1)</t>
  </si>
  <si>
    <t xml:space="preserve"> հáõÝí³ñ-ապրիլ</t>
  </si>
  <si>
    <t>¿É»Ïïñ³Ï³Ý Ï³Û³ÝÝ»ñÇó</t>
  </si>
  <si>
    <t>ապրիլ           ամիսների</t>
  </si>
  <si>
    <t>հունվար-ապրիլ             ամիսների</t>
  </si>
  <si>
    <t>6.2</t>
  </si>
  <si>
    <t>6,4</t>
  </si>
  <si>
    <t xml:space="preserve"> հáõÝí³ñ-մայիս</t>
  </si>
  <si>
    <t>մայիս          ամիսների</t>
  </si>
  <si>
    <t>հունվար-մայիս           ամիսների</t>
  </si>
  <si>
    <t xml:space="preserve"> հáõÝí³ñ-հունիս</t>
  </si>
  <si>
    <t>հունիս            ամիսների</t>
  </si>
  <si>
    <t>§Ð¾ò¦ ö´À ¿É»Ïïñ³Ï³Ý ¿Ý»ñ·Ç³ÛÇ ÙáõïùÁ ³é³Ýó ÏáñáõëïÝ»ñÇ(8-6.2)</t>
  </si>
  <si>
    <t>ԲԷՑ ՓԲԸ (համաձայն 03.08.2015թ ENA-15-23 պայմնագրի՝վթարային իրավիճակների դեպքում)</t>
  </si>
  <si>
    <t>§Ð¾ò¦ ö´À (համաձայն 23.11.2015թ. ENA-15-31 պայմնագրի՝ Վրաստանից գնված էլ. էներգիա)</t>
  </si>
  <si>
    <t>8.6</t>
  </si>
  <si>
    <t>8,10</t>
  </si>
  <si>
    <t>10.3.1</t>
  </si>
  <si>
    <t>10.3.2</t>
  </si>
  <si>
    <t>ê³É¹á (7.2.2 - 5.2.2)</t>
  </si>
  <si>
    <t>Սալդո 35 ¨ 10 Ïí ·Í»ñáí</t>
  </si>
  <si>
    <t>35 ¨ 10 Ïí ·Í»ñáí</t>
  </si>
  <si>
    <t>10.3</t>
  </si>
  <si>
    <t>¾É. ¿Ý»ñ·Ç³ÛÇ ëå³éáõÙÁ ÐÐ Ý»ñùÇÝ ßáõÏ³ÛáõÙ (9-10-10.3-12)</t>
  </si>
  <si>
    <t>²ñó³Ëից</t>
  </si>
  <si>
    <t>ìñ³ëï³Ýից</t>
  </si>
  <si>
    <t xml:space="preserve">²ñó³Ë </t>
  </si>
  <si>
    <t>ÏáÕÙÇó ¿É.¿Ý. í³×³éù§²ñó³Ë¿Ý»ñ·á¦ö´À 2016թ հունվար, փետրվար (10.1+10.2)</t>
  </si>
  <si>
    <r>
      <rPr>
        <sz val="10"/>
        <rFont val="Calibri"/>
        <family val="2"/>
      </rPr>
      <t>«</t>
    </r>
    <r>
      <rPr>
        <sz val="10"/>
        <rFont val="Times Armenian"/>
        <family val="1"/>
      </rPr>
      <t>Արցախէներգո</t>
    </r>
    <r>
      <rPr>
        <sz val="10"/>
        <rFont val="Calibri"/>
        <family val="2"/>
      </rPr>
      <t>»</t>
    </r>
    <r>
      <rPr>
        <sz val="10"/>
        <rFont val="Times Armenian"/>
        <family val="1"/>
      </rPr>
      <t xml:space="preserve"> ՓԲԸ (2016թ մարտ-հունիս ամիսների ընթացքում՝ համաձայն 01.11.2016թ ENA-16-167 պայմանագրի ) </t>
    </r>
  </si>
  <si>
    <r>
      <rPr>
        <b/>
        <sz val="12"/>
        <rFont val="Calibri"/>
        <family val="2"/>
      </rPr>
      <t>«</t>
    </r>
    <r>
      <rPr>
        <b/>
        <sz val="12"/>
        <rFont val="Times Armenian"/>
        <family val="1"/>
      </rPr>
      <t>ՀԷՑ</t>
    </r>
    <r>
      <rPr>
        <b/>
        <sz val="12"/>
        <rFont val="Calibri"/>
        <family val="2"/>
      </rPr>
      <t>»</t>
    </r>
    <r>
      <rPr>
        <b/>
        <sz val="12"/>
        <rFont val="Times Armenian"/>
        <family val="1"/>
      </rPr>
      <t xml:space="preserve"> ՓԲԸ կողմից էլ. Էն. արտահանում </t>
    </r>
    <r>
      <rPr>
        <b/>
        <sz val="12"/>
        <rFont val="Calibri"/>
        <family val="2"/>
      </rPr>
      <t>«</t>
    </r>
    <r>
      <rPr>
        <b/>
        <sz val="12"/>
        <rFont val="Times Armenian"/>
        <family val="1"/>
      </rPr>
      <t>Արցախէներգո</t>
    </r>
    <r>
      <rPr>
        <b/>
        <sz val="12"/>
        <rFont val="Calibri"/>
        <family val="2"/>
      </rPr>
      <t>»</t>
    </r>
    <r>
      <rPr>
        <b/>
        <sz val="12"/>
        <rFont val="Times Armenian"/>
        <family val="1"/>
      </rPr>
      <t xml:space="preserve"> ՓԲԸ (2016թ հուլիս-նոյեմբեր ամիսների ընթացքում՝ համաձայն 01.11.2016թ ENA-16-167 պայմանագրի ) (10.3.1+10.3.2)</t>
    </r>
  </si>
  <si>
    <t>դեկտեմբեր            ամիսների</t>
  </si>
  <si>
    <t>հունվար-դեկտեմբեր     ամիսների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</si>
</sst>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2" formatCode="0;[Red]0"/>
    <numFmt numFmtId="173" formatCode="0.00;[Red]0.00"/>
    <numFmt numFmtId="174" formatCode="0.000;[Red]0.000"/>
    <numFmt numFmtId="175" formatCode="0.000"/>
    <numFmt numFmtId="176" formatCode="0.0000;[Red]0.0000"/>
    <numFmt numFmtId="177" formatCode="0.00000;[Red]0.00000"/>
    <numFmt numFmtId="178" formatCode="0.000000;[Red]0.000000"/>
    <numFmt numFmtId="179" formatCode="0.0000000;[Red]0.0000000"/>
    <numFmt numFmtId="180" formatCode="0.0000"/>
    <numFmt numFmtId="181" formatCode="0.00000"/>
    <numFmt numFmtId="182" formatCode="0.000000"/>
    <numFmt numFmtId="184" formatCode="0.0;[Red]0.0"/>
    <numFmt numFmtId="186" formatCode="#,##0;[Red]#,##0"/>
    <numFmt numFmtId="187" formatCode="0.00000000000;[Red]0.00000000000"/>
    <numFmt numFmtId="189" formatCode="0.0"/>
    <numFmt numFmtId="190" formatCode="0.00_ ;[Red]\-0.00\ "/>
    <numFmt numFmtId="192" formatCode="0_ ;[Red]\-0\ "/>
    <numFmt numFmtId="193" formatCode="0.000_ ;[Red]\-0.000\ "/>
    <numFmt numFmtId="207" formatCode="0.000000_ ;[Red]\-0.000000\ "/>
    <numFmt numFmtId="218" formatCode="#,##0.00_ ;[Red]\-#,##0.00\ "/>
  </numFmts>
  <fonts count="76">
    <font>
      <sz val="10"/>
      <name val="Times Armenian"/>
      <family val="0"/>
    </font>
    <font>
      <sz val="11"/>
      <color indexed="8"/>
      <name val="Calibri"/>
      <family val="2"/>
    </font>
    <font>
      <sz val="8"/>
      <name val="Times Armenian"/>
      <family val="1"/>
    </font>
    <font>
      <sz val="12"/>
      <name val="Times Armenian"/>
      <family val="1"/>
    </font>
    <font>
      <sz val="11"/>
      <name val="Times Armenian"/>
      <family val="1"/>
    </font>
    <font>
      <sz val="10"/>
      <color indexed="10"/>
      <name val="Times Armenian"/>
      <family val="1"/>
    </font>
    <font>
      <sz val="10"/>
      <color indexed="8"/>
      <name val="Times Armenian"/>
      <family val="1"/>
    </font>
    <font>
      <sz val="11"/>
      <color indexed="48"/>
      <name val="Times Armenian"/>
      <family val="1"/>
    </font>
    <font>
      <sz val="11"/>
      <color indexed="10"/>
      <name val="Times Armenian"/>
      <family val="1"/>
    </font>
    <font>
      <sz val="12"/>
      <color indexed="10"/>
      <name val="Times Armenian"/>
      <family val="1"/>
    </font>
    <font>
      <sz val="10"/>
      <color indexed="48"/>
      <name val="Times Armenian"/>
      <family val="1"/>
    </font>
    <font>
      <sz val="10"/>
      <color indexed="12"/>
      <name val="Times Armenian"/>
      <family val="1"/>
    </font>
    <font>
      <sz val="12"/>
      <color indexed="12"/>
      <name val="Times Armenian"/>
      <family val="1"/>
    </font>
    <font>
      <sz val="14"/>
      <color indexed="10"/>
      <name val="Times Armenian"/>
      <family val="1"/>
    </font>
    <font>
      <b/>
      <sz val="10"/>
      <color indexed="10"/>
      <name val="Times Armenian"/>
      <family val="1"/>
    </font>
    <font>
      <b/>
      <sz val="12"/>
      <color indexed="10"/>
      <name val="Times Armenian"/>
      <family val="1"/>
    </font>
    <font>
      <b/>
      <sz val="10"/>
      <name val="Times Armenian"/>
      <family val="1"/>
    </font>
    <font>
      <b/>
      <sz val="12"/>
      <name val="Times Armenian"/>
      <family val="1"/>
    </font>
    <font>
      <b/>
      <sz val="13"/>
      <color indexed="10"/>
      <name val="Times Armenian"/>
      <family val="1"/>
    </font>
    <font>
      <sz val="13"/>
      <color indexed="10"/>
      <name val="Times Armenian"/>
      <family val="1"/>
    </font>
    <font>
      <sz val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Armenian"/>
      <family val="1"/>
    </font>
    <font>
      <sz val="12"/>
      <color indexed="8"/>
      <name val="Times Armenian"/>
      <family val="1"/>
    </font>
    <font>
      <sz val="11"/>
      <color indexed="8"/>
      <name val="Times Armenian"/>
      <family val="1"/>
    </font>
    <font>
      <b/>
      <sz val="10"/>
      <color indexed="8"/>
      <name val="Times Armenian"/>
      <family val="1"/>
    </font>
    <font>
      <b/>
      <sz val="11"/>
      <color indexed="8"/>
      <name val="Times Armenian"/>
      <family val="1"/>
    </font>
    <font>
      <b/>
      <sz val="14"/>
      <color indexed="8"/>
      <name val="Times Armeni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Armenian"/>
      <family val="1"/>
    </font>
    <font>
      <sz val="12"/>
      <color rgb="FFFF0000"/>
      <name val="Times Armenian"/>
      <family val="1"/>
    </font>
    <font>
      <sz val="10"/>
      <color rgb="FFFF0000"/>
      <name val="Times Armenian"/>
      <family val="1"/>
    </font>
    <font>
      <b/>
      <sz val="12"/>
      <color rgb="FFFF0000"/>
      <name val="Times Armenian"/>
      <family val="1"/>
    </font>
    <font>
      <b/>
      <sz val="13"/>
      <color rgb="FFFF0000"/>
      <name val="Times Armenian"/>
      <family val="1"/>
    </font>
    <font>
      <sz val="13"/>
      <color rgb="FFFF0000"/>
      <name val="Times Armenian"/>
      <family val="1"/>
    </font>
    <font>
      <sz val="12"/>
      <color theme="1"/>
      <name val="Times Armenian"/>
      <family val="1"/>
    </font>
    <font>
      <sz val="11"/>
      <color theme="1"/>
      <name val="Times Armenian"/>
      <family val="1"/>
    </font>
    <font>
      <b/>
      <sz val="10"/>
      <color theme="1"/>
      <name val="Times Armenian"/>
      <family val="1"/>
    </font>
    <font>
      <sz val="10"/>
      <color theme="1"/>
      <name val="Times Armenian"/>
      <family val="1"/>
    </font>
    <font>
      <b/>
      <sz val="11"/>
      <color theme="1"/>
      <name val="Times Armenian"/>
      <family val="1"/>
    </font>
    <font>
      <b/>
      <sz val="14"/>
      <color theme="1"/>
      <name val="Times Armenian"/>
      <family val="1"/>
    </font>
    <font>
      <b/>
      <sz val="8"/>
      <name val="Times Armeni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88">
    <xf numFmtId="0" fontId="0" fillId="0" borderId="0" xfId="0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5" fillId="0" borderId="0" xfId="0" applyNumberFormat="1" applyFont="1" applyFill="1" applyBorder="1" applyAlignment="1">
      <alignment horizontal="centerContinuous"/>
    </xf>
    <xf numFmtId="0" fontId="3" fillId="0" borderId="0" xfId="0" applyFont="1" applyAlignment="1">
      <alignment/>
    </xf>
    <xf numFmtId="0" fontId="0" fillId="33" borderId="0" xfId="0" applyFont="1" applyFill="1" applyAlignment="1">
      <alignment/>
    </xf>
    <xf numFmtId="173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3" fillId="33" borderId="0" xfId="0" applyFont="1" applyFill="1" applyAlignment="1">
      <alignment/>
    </xf>
    <xf numFmtId="17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 horizontal="centerContinuous"/>
    </xf>
    <xf numFmtId="174" fontId="0" fillId="0" borderId="0" xfId="0" applyNumberFormat="1" applyFont="1" applyFill="1" applyBorder="1" applyAlignment="1">
      <alignment horizontal="centerContinuous"/>
    </xf>
    <xf numFmtId="179" fontId="0" fillId="0" borderId="0" xfId="0" applyNumberFormat="1" applyFont="1" applyFill="1" applyBorder="1" applyAlignment="1">
      <alignment horizontal="centerContinuous"/>
    </xf>
    <xf numFmtId="172" fontId="0" fillId="0" borderId="0" xfId="0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74" fontId="0" fillId="0" borderId="0" xfId="0" applyNumberFormat="1" applyFont="1" applyAlignment="1">
      <alignment/>
    </xf>
    <xf numFmtId="173" fontId="3" fillId="0" borderId="0" xfId="0" applyNumberFormat="1" applyFont="1" applyFill="1" applyBorder="1" applyAlignment="1">
      <alignment horizontal="left" vertical="center" wrapText="1"/>
    </xf>
    <xf numFmtId="178" fontId="0" fillId="0" borderId="0" xfId="0" applyNumberFormat="1" applyFont="1" applyFill="1" applyBorder="1" applyAlignment="1">
      <alignment horizontal="centerContinuous"/>
    </xf>
    <xf numFmtId="2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3" fontId="3" fillId="0" borderId="0" xfId="0" applyNumberFormat="1" applyFont="1" applyFill="1" applyBorder="1" applyAlignment="1">
      <alignment horizontal="left" wrapText="1"/>
    </xf>
    <xf numFmtId="172" fontId="5" fillId="0" borderId="0" xfId="0" applyNumberFormat="1" applyFont="1" applyFill="1" applyBorder="1" applyAlignment="1">
      <alignment horizontal="centerContinuous"/>
    </xf>
    <xf numFmtId="172" fontId="0" fillId="0" borderId="0" xfId="0" applyNumberFormat="1" applyFont="1" applyFill="1" applyBorder="1" applyAlignment="1">
      <alignment horizontal="centerContinuous"/>
    </xf>
    <xf numFmtId="173" fontId="9" fillId="0" borderId="0" xfId="0" applyNumberFormat="1" applyFont="1" applyFill="1" applyBorder="1" applyAlignment="1">
      <alignment horizontal="centerContinuous"/>
    </xf>
    <xf numFmtId="186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184" fontId="5" fillId="0" borderId="0" xfId="0" applyNumberFormat="1" applyFont="1" applyFill="1" applyBorder="1" applyAlignment="1">
      <alignment horizontal="left"/>
    </xf>
    <xf numFmtId="173" fontId="5" fillId="0" borderId="0" xfId="0" applyNumberFormat="1" applyFont="1" applyFill="1" applyBorder="1" applyAlignment="1">
      <alignment horizontal="left"/>
    </xf>
    <xf numFmtId="187" fontId="0" fillId="0" borderId="0" xfId="0" applyNumberFormat="1" applyFont="1" applyFill="1" applyBorder="1" applyAlignment="1">
      <alignment horizontal="centerContinuous"/>
    </xf>
    <xf numFmtId="174" fontId="0" fillId="0" borderId="0" xfId="0" applyNumberFormat="1" applyFont="1" applyBorder="1" applyAlignment="1">
      <alignment/>
    </xf>
    <xf numFmtId="174" fontId="5" fillId="0" borderId="0" xfId="0" applyNumberFormat="1" applyFont="1" applyAlignment="1">
      <alignment/>
    </xf>
    <xf numFmtId="173" fontId="0" fillId="0" borderId="0" xfId="0" applyNumberFormat="1" applyFont="1" applyBorder="1" applyAlignment="1">
      <alignment/>
    </xf>
    <xf numFmtId="172" fontId="1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75" fontId="0" fillId="0" borderId="0" xfId="0" applyNumberFormat="1" applyFont="1" applyBorder="1" applyAlignment="1">
      <alignment/>
    </xf>
    <xf numFmtId="173" fontId="0" fillId="33" borderId="0" xfId="0" applyNumberFormat="1" applyFont="1" applyFill="1" applyBorder="1" applyAlignment="1">
      <alignment vertical="center" wrapText="1"/>
    </xf>
    <xf numFmtId="179" fontId="0" fillId="0" borderId="0" xfId="0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0" fontId="0" fillId="34" borderId="0" xfId="0" applyFont="1" applyFill="1" applyAlignment="1">
      <alignment/>
    </xf>
    <xf numFmtId="49" fontId="0" fillId="0" borderId="10" xfId="0" applyNumberFormat="1" applyFont="1" applyBorder="1" applyAlignment="1">
      <alignment horizontal="right" vertical="center"/>
    </xf>
    <xf numFmtId="173" fontId="3" fillId="0" borderId="11" xfId="0" applyNumberFormat="1" applyFont="1" applyBorder="1" applyAlignment="1">
      <alignment horizontal="center" vertical="center"/>
    </xf>
    <xf numFmtId="173" fontId="4" fillId="0" borderId="0" xfId="0" applyNumberFormat="1" applyFont="1" applyBorder="1" applyAlignment="1">
      <alignment horizontal="center" vertical="center" wrapText="1"/>
    </xf>
    <xf numFmtId="173" fontId="0" fillId="0" borderId="12" xfId="0" applyNumberFormat="1" applyFont="1" applyFill="1" applyBorder="1" applyAlignment="1">
      <alignment/>
    </xf>
    <xf numFmtId="172" fontId="0" fillId="33" borderId="13" xfId="0" applyNumberFormat="1" applyFont="1" applyFill="1" applyBorder="1" applyAlignment="1">
      <alignment horizontal="center" vertical="center"/>
    </xf>
    <xf numFmtId="173" fontId="0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 horizontal="left" vertical="center" wrapText="1"/>
    </xf>
    <xf numFmtId="179" fontId="0" fillId="0" borderId="0" xfId="0" applyNumberFormat="1" applyFont="1" applyFill="1" applyBorder="1" applyAlignment="1">
      <alignment horizontal="left"/>
    </xf>
    <xf numFmtId="178" fontId="0" fillId="0" borderId="0" xfId="0" applyNumberFormat="1" applyFont="1" applyFill="1" applyBorder="1" applyAlignment="1">
      <alignment horizontal="left"/>
    </xf>
    <xf numFmtId="182" fontId="5" fillId="0" borderId="0" xfId="0" applyNumberFormat="1" applyFont="1" applyFill="1" applyBorder="1" applyAlignment="1">
      <alignment horizontal="center"/>
    </xf>
    <xf numFmtId="178" fontId="14" fillId="0" borderId="0" xfId="0" applyNumberFormat="1" applyFont="1" applyBorder="1" applyAlignment="1">
      <alignment/>
    </xf>
    <xf numFmtId="178" fontId="16" fillId="0" borderId="0" xfId="0" applyNumberFormat="1" applyFont="1" applyFill="1" applyBorder="1" applyAlignment="1">
      <alignment horizontal="centerContinuous"/>
    </xf>
    <xf numFmtId="174" fontId="16" fillId="0" borderId="0" xfId="0" applyNumberFormat="1" applyFont="1" applyBorder="1" applyAlignment="1">
      <alignment/>
    </xf>
    <xf numFmtId="178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82" fontId="16" fillId="0" borderId="0" xfId="0" applyNumberFormat="1" applyFont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173" fontId="0" fillId="34" borderId="0" xfId="0" applyNumberFormat="1" applyFont="1" applyFill="1" applyBorder="1" applyAlignment="1">
      <alignment/>
    </xf>
    <xf numFmtId="172" fontId="63" fillId="0" borderId="14" xfId="0" applyNumberFormat="1" applyFont="1" applyBorder="1" applyAlignment="1">
      <alignment horizontal="center" vertical="center"/>
    </xf>
    <xf numFmtId="172" fontId="63" fillId="0" borderId="15" xfId="0" applyNumberFormat="1" applyFont="1" applyBorder="1" applyAlignment="1">
      <alignment horizontal="center" vertical="center"/>
    </xf>
    <xf numFmtId="173" fontId="3" fillId="34" borderId="0" xfId="0" applyNumberFormat="1" applyFont="1" applyFill="1" applyBorder="1" applyAlignment="1">
      <alignment horizontal="left" wrapText="1"/>
    </xf>
    <xf numFmtId="173" fontId="3" fillId="34" borderId="0" xfId="0" applyNumberFormat="1" applyFont="1" applyFill="1" applyBorder="1" applyAlignment="1">
      <alignment vertical="center"/>
    </xf>
    <xf numFmtId="49" fontId="3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ont="1" applyFill="1" applyBorder="1" applyAlignment="1">
      <alignment/>
    </xf>
    <xf numFmtId="173" fontId="64" fillId="0" borderId="0" xfId="0" applyNumberFormat="1" applyFont="1" applyBorder="1" applyAlignment="1">
      <alignment vertical="center"/>
    </xf>
    <xf numFmtId="173" fontId="65" fillId="0" borderId="0" xfId="0" applyNumberFormat="1" applyFont="1" applyFill="1" applyBorder="1" applyAlignment="1">
      <alignment horizontal="centerContinuous"/>
    </xf>
    <xf numFmtId="172" fontId="3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/>
    </xf>
    <xf numFmtId="172" fontId="12" fillId="0" borderId="0" xfId="0" applyNumberFormat="1" applyFont="1" applyBorder="1" applyAlignment="1">
      <alignment/>
    </xf>
    <xf numFmtId="178" fontId="64" fillId="0" borderId="0" xfId="0" applyNumberFormat="1" applyFont="1" applyBorder="1" applyAlignment="1">
      <alignment vertical="center"/>
    </xf>
    <xf numFmtId="173" fontId="0" fillId="0" borderId="0" xfId="0" applyNumberFormat="1" applyFont="1" applyAlignment="1">
      <alignment/>
    </xf>
    <xf numFmtId="179" fontId="0" fillId="0" borderId="16" xfId="0" applyNumberFormat="1" applyFont="1" applyBorder="1" applyAlignment="1">
      <alignment horizontal="center" vertical="center"/>
    </xf>
    <xf numFmtId="1" fontId="63" fillId="0" borderId="14" xfId="0" applyNumberFormat="1" applyFont="1" applyBorder="1" applyAlignment="1">
      <alignment horizontal="center" vertical="center"/>
    </xf>
    <xf numFmtId="173" fontId="0" fillId="0" borderId="17" xfId="0" applyNumberFormat="1" applyFont="1" applyBorder="1" applyAlignment="1">
      <alignment horizontal="center" vertical="center"/>
    </xf>
    <xf numFmtId="173" fontId="0" fillId="0" borderId="18" xfId="0" applyNumberFormat="1" applyFont="1" applyBorder="1" applyAlignment="1">
      <alignment horizontal="center" vertical="center" wrapText="1"/>
    </xf>
    <xf numFmtId="173" fontId="6" fillId="0" borderId="18" xfId="0" applyNumberFormat="1" applyFont="1" applyBorder="1" applyAlignment="1">
      <alignment horizontal="center" vertical="center" wrapText="1"/>
    </xf>
    <xf numFmtId="173" fontId="0" fillId="0" borderId="19" xfId="0" applyNumberFormat="1" applyFont="1" applyBorder="1" applyAlignment="1">
      <alignment horizontal="center" vertical="center" wrapText="1"/>
    </xf>
    <xf numFmtId="173" fontId="66" fillId="0" borderId="10" xfId="0" applyNumberFormat="1" applyFont="1" applyFill="1" applyBorder="1" applyAlignment="1">
      <alignment horizontal="center" vertical="center"/>
    </xf>
    <xf numFmtId="173" fontId="66" fillId="34" borderId="10" xfId="0" applyNumberFormat="1" applyFont="1" applyFill="1" applyBorder="1" applyAlignment="1">
      <alignment horizontal="center" vertical="center"/>
    </xf>
    <xf numFmtId="2" fontId="67" fillId="0" borderId="19" xfId="0" applyNumberFormat="1" applyFont="1" applyFill="1" applyBorder="1" applyAlignment="1">
      <alignment horizontal="center" vertical="center"/>
    </xf>
    <xf numFmtId="2" fontId="67" fillId="0" borderId="20" xfId="0" applyNumberFormat="1" applyFont="1" applyFill="1" applyBorder="1" applyAlignment="1">
      <alignment horizontal="center" vertical="center"/>
    </xf>
    <xf numFmtId="173" fontId="67" fillId="0" borderId="20" xfId="0" applyNumberFormat="1" applyFont="1" applyFill="1" applyBorder="1" applyAlignment="1">
      <alignment horizontal="center" vertical="center"/>
    </xf>
    <xf numFmtId="2" fontId="67" fillId="33" borderId="19" xfId="0" applyNumberFormat="1" applyFont="1" applyFill="1" applyBorder="1" applyAlignment="1">
      <alignment horizontal="center" vertical="center"/>
    </xf>
    <xf numFmtId="2" fontId="67" fillId="33" borderId="20" xfId="0" applyNumberFormat="1" applyFont="1" applyFill="1" applyBorder="1" applyAlignment="1">
      <alignment horizontal="center" vertical="center"/>
    </xf>
    <xf numFmtId="2" fontId="67" fillId="34" borderId="19" xfId="0" applyNumberFormat="1" applyFont="1" applyFill="1" applyBorder="1" applyAlignment="1">
      <alignment horizontal="center" vertical="center"/>
    </xf>
    <xf numFmtId="1" fontId="67" fillId="33" borderId="19" xfId="0" applyNumberFormat="1" applyFont="1" applyFill="1" applyBorder="1" applyAlignment="1">
      <alignment horizontal="center" vertical="center"/>
    </xf>
    <xf numFmtId="173" fontId="67" fillId="35" borderId="20" xfId="0" applyNumberFormat="1" applyFont="1" applyFill="1" applyBorder="1" applyAlignment="1">
      <alignment horizontal="center" vertical="center"/>
    </xf>
    <xf numFmtId="172" fontId="67" fillId="33" borderId="19" xfId="0" applyNumberFormat="1" applyFont="1" applyFill="1" applyBorder="1" applyAlignment="1">
      <alignment horizontal="center" vertical="center"/>
    </xf>
    <xf numFmtId="172" fontId="67" fillId="33" borderId="21" xfId="0" applyNumberFormat="1" applyFont="1" applyFill="1" applyBorder="1" applyAlignment="1">
      <alignment horizontal="center" vertical="center"/>
    </xf>
    <xf numFmtId="172" fontId="67" fillId="33" borderId="22" xfId="0" applyNumberFormat="1" applyFont="1" applyFill="1" applyBorder="1" applyAlignment="1">
      <alignment horizontal="center" vertical="center"/>
    </xf>
    <xf numFmtId="172" fontId="67" fillId="33" borderId="10" xfId="0" applyNumberFormat="1" applyFont="1" applyFill="1" applyBorder="1" applyAlignment="1">
      <alignment horizontal="center" vertical="center"/>
    </xf>
    <xf numFmtId="2" fontId="67" fillId="36" borderId="19" xfId="0" applyNumberFormat="1" applyFont="1" applyFill="1" applyBorder="1" applyAlignment="1">
      <alignment horizontal="center" vertical="center"/>
    </xf>
    <xf numFmtId="10" fontId="67" fillId="34" borderId="19" xfId="0" applyNumberFormat="1" applyFont="1" applyFill="1" applyBorder="1" applyAlignment="1">
      <alignment horizontal="center" vertical="center"/>
    </xf>
    <xf numFmtId="172" fontId="67" fillId="0" borderId="10" xfId="0" applyNumberFormat="1" applyFont="1" applyBorder="1" applyAlignment="1">
      <alignment horizontal="center" vertical="center"/>
    </xf>
    <xf numFmtId="172" fontId="67" fillId="0" borderId="22" xfId="0" applyNumberFormat="1" applyFont="1" applyBorder="1" applyAlignment="1">
      <alignment horizontal="center" vertical="center"/>
    </xf>
    <xf numFmtId="172" fontId="67" fillId="0" borderId="21" xfId="0" applyNumberFormat="1" applyFont="1" applyBorder="1" applyAlignment="1">
      <alignment horizontal="center" vertical="center"/>
    </xf>
    <xf numFmtId="173" fontId="67" fillId="34" borderId="10" xfId="0" applyNumberFormat="1" applyFont="1" applyFill="1" applyBorder="1" applyAlignment="1">
      <alignment horizontal="center" vertical="center"/>
    </xf>
    <xf numFmtId="1" fontId="67" fillId="34" borderId="20" xfId="0" applyNumberFormat="1" applyFont="1" applyFill="1" applyBorder="1" applyAlignment="1">
      <alignment horizontal="center" vertical="center"/>
    </xf>
    <xf numFmtId="172" fontId="67" fillId="0" borderId="13" xfId="0" applyNumberFormat="1" applyFont="1" applyBorder="1" applyAlignment="1">
      <alignment horizontal="center" vertical="center"/>
    </xf>
    <xf numFmtId="174" fontId="67" fillId="0" borderId="21" xfId="0" applyNumberFormat="1" applyFont="1" applyBorder="1" applyAlignment="1">
      <alignment horizontal="center" vertical="center"/>
    </xf>
    <xf numFmtId="1" fontId="67" fillId="34" borderId="19" xfId="0" applyNumberFormat="1" applyFont="1" applyFill="1" applyBorder="1" applyAlignment="1">
      <alignment horizontal="center" vertical="center"/>
    </xf>
    <xf numFmtId="172" fontId="67" fillId="33" borderId="13" xfId="0" applyNumberFormat="1" applyFont="1" applyFill="1" applyBorder="1" applyAlignment="1">
      <alignment horizontal="center" vertical="center"/>
    </xf>
    <xf numFmtId="172" fontId="67" fillId="33" borderId="23" xfId="0" applyNumberFormat="1" applyFont="1" applyFill="1" applyBorder="1" applyAlignment="1">
      <alignment horizontal="center" vertical="center"/>
    </xf>
    <xf numFmtId="172" fontId="63" fillId="0" borderId="24" xfId="0" applyNumberFormat="1" applyFont="1" applyBorder="1" applyAlignment="1">
      <alignment horizontal="center" vertical="center"/>
    </xf>
    <xf numFmtId="173" fontId="68" fillId="0" borderId="25" xfId="0" applyNumberFormat="1" applyFont="1" applyFill="1" applyBorder="1" applyAlignment="1">
      <alignment horizontal="center" vertical="center"/>
    </xf>
    <xf numFmtId="173" fontId="67" fillId="0" borderId="10" xfId="0" applyNumberFormat="1" applyFont="1" applyFill="1" applyBorder="1" applyAlignment="1">
      <alignment horizontal="center" vertical="center"/>
    </xf>
    <xf numFmtId="173" fontId="67" fillId="0" borderId="21" xfId="0" applyNumberFormat="1" applyFont="1" applyFill="1" applyBorder="1" applyAlignment="1">
      <alignment horizontal="center" vertical="center"/>
    </xf>
    <xf numFmtId="173" fontId="68" fillId="0" borderId="0" xfId="0" applyNumberFormat="1" applyFont="1" applyFill="1" applyBorder="1" applyAlignment="1">
      <alignment horizontal="center" vertical="center"/>
    </xf>
    <xf numFmtId="173" fontId="68" fillId="0" borderId="23" xfId="0" applyNumberFormat="1" applyFont="1" applyBorder="1" applyAlignment="1">
      <alignment horizontal="center" vertical="center"/>
    </xf>
    <xf numFmtId="2" fontId="67" fillId="0" borderId="21" xfId="0" applyNumberFormat="1" applyFont="1" applyBorder="1" applyAlignment="1">
      <alignment horizontal="center" vertical="center"/>
    </xf>
    <xf numFmtId="172" fontId="67" fillId="0" borderId="22" xfId="0" applyNumberFormat="1" applyFont="1" applyFill="1" applyBorder="1" applyAlignment="1">
      <alignment horizontal="center" vertical="center"/>
    </xf>
    <xf numFmtId="172" fontId="67" fillId="0" borderId="10" xfId="0" applyNumberFormat="1" applyFont="1" applyFill="1" applyBorder="1" applyAlignment="1">
      <alignment horizontal="center" vertical="center"/>
    </xf>
    <xf numFmtId="172" fontId="67" fillId="0" borderId="21" xfId="0" applyNumberFormat="1" applyFont="1" applyFill="1" applyBorder="1" applyAlignment="1">
      <alignment horizontal="center" vertical="center"/>
    </xf>
    <xf numFmtId="173" fontId="68" fillId="0" borderId="25" xfId="0" applyNumberFormat="1" applyFont="1" applyBorder="1" applyAlignment="1">
      <alignment horizontal="center" vertical="center"/>
    </xf>
    <xf numFmtId="173" fontId="68" fillId="0" borderId="23" xfId="0" applyNumberFormat="1" applyFont="1" applyFill="1" applyBorder="1" applyAlignment="1">
      <alignment horizontal="center" vertical="center"/>
    </xf>
    <xf numFmtId="173" fontId="68" fillId="33" borderId="23" xfId="0" applyNumberFormat="1" applyFont="1" applyFill="1" applyBorder="1" applyAlignment="1">
      <alignment horizontal="center" vertical="center"/>
    </xf>
    <xf numFmtId="173" fontId="67" fillId="33" borderId="21" xfId="0" applyNumberFormat="1" applyFont="1" applyFill="1" applyBorder="1" applyAlignment="1">
      <alignment horizontal="center" vertical="center"/>
    </xf>
    <xf numFmtId="173" fontId="68" fillId="35" borderId="23" xfId="0" applyNumberFormat="1" applyFont="1" applyFill="1" applyBorder="1" applyAlignment="1">
      <alignment horizontal="center" vertical="center"/>
    </xf>
    <xf numFmtId="173" fontId="67" fillId="35" borderId="10" xfId="0" applyNumberFormat="1" applyFont="1" applyFill="1" applyBorder="1" applyAlignment="1">
      <alignment horizontal="center" vertical="center"/>
    </xf>
    <xf numFmtId="173" fontId="67" fillId="35" borderId="21" xfId="0" applyNumberFormat="1" applyFont="1" applyFill="1" applyBorder="1" applyAlignment="1">
      <alignment horizontal="center" vertical="center"/>
    </xf>
    <xf numFmtId="173" fontId="68" fillId="0" borderId="23" xfId="0" applyNumberFormat="1" applyFont="1" applyBorder="1" applyAlignment="1">
      <alignment vertical="center"/>
    </xf>
    <xf numFmtId="173" fontId="68" fillId="0" borderId="26" xfId="0" applyNumberFormat="1" applyFont="1" applyBorder="1" applyAlignment="1">
      <alignment horizontal="center" vertical="center"/>
    </xf>
    <xf numFmtId="173" fontId="68" fillId="33" borderId="25" xfId="0" applyNumberFormat="1" applyFont="1" applyFill="1" applyBorder="1" applyAlignment="1">
      <alignment horizontal="center" vertical="center"/>
    </xf>
    <xf numFmtId="173" fontId="68" fillId="0" borderId="27" xfId="0" applyNumberFormat="1" applyFont="1" applyFill="1" applyBorder="1" applyAlignment="1">
      <alignment horizontal="center" vertical="center"/>
    </xf>
    <xf numFmtId="173" fontId="68" fillId="0" borderId="27" xfId="0" applyNumberFormat="1" applyFont="1" applyFill="1" applyBorder="1" applyAlignment="1">
      <alignment horizontal="center" vertical="center" wrapText="1"/>
    </xf>
    <xf numFmtId="173" fontId="68" fillId="33" borderId="27" xfId="0" applyNumberFormat="1" applyFont="1" applyFill="1" applyBorder="1" applyAlignment="1">
      <alignment horizontal="center" vertical="center" wrapText="1"/>
    </xf>
    <xf numFmtId="173" fontId="68" fillId="0" borderId="23" xfId="0" applyNumberFormat="1" applyFont="1" applyFill="1" applyBorder="1" applyAlignment="1">
      <alignment horizontal="center" vertical="center" wrapText="1"/>
    </xf>
    <xf numFmtId="173" fontId="68" fillId="0" borderId="0" xfId="0" applyNumberFormat="1" applyFont="1" applyBorder="1" applyAlignment="1">
      <alignment horizontal="center" vertical="center"/>
    </xf>
    <xf numFmtId="173" fontId="68" fillId="0" borderId="27" xfId="0" applyNumberFormat="1" applyFont="1" applyBorder="1" applyAlignment="1">
      <alignment horizontal="center" vertical="center"/>
    </xf>
    <xf numFmtId="173" fontId="68" fillId="36" borderId="0" xfId="0" applyNumberFormat="1" applyFont="1" applyFill="1" applyBorder="1" applyAlignment="1">
      <alignment horizontal="center" vertical="center"/>
    </xf>
    <xf numFmtId="173" fontId="67" fillId="36" borderId="21" xfId="0" applyNumberFormat="1" applyFont="1" applyFill="1" applyBorder="1" applyAlignment="1">
      <alignment horizontal="center" vertical="center"/>
    </xf>
    <xf numFmtId="173" fontId="68" fillId="36" borderId="23" xfId="0" applyNumberFormat="1" applyFont="1" applyFill="1" applyBorder="1" applyAlignment="1">
      <alignment horizontal="center" vertical="center"/>
    </xf>
    <xf numFmtId="1" fontId="67" fillId="33" borderId="22" xfId="0" applyNumberFormat="1" applyFont="1" applyFill="1" applyBorder="1" applyAlignment="1">
      <alignment horizontal="center" vertical="center"/>
    </xf>
    <xf numFmtId="1" fontId="67" fillId="33" borderId="21" xfId="0" applyNumberFormat="1" applyFont="1" applyFill="1" applyBorder="1" applyAlignment="1">
      <alignment horizontal="center" vertical="center"/>
    </xf>
    <xf numFmtId="1" fontId="67" fillId="33" borderId="23" xfId="0" applyNumberFormat="1" applyFont="1" applyFill="1" applyBorder="1" applyAlignment="1">
      <alignment horizontal="center" vertical="center"/>
    </xf>
    <xf numFmtId="2" fontId="67" fillId="33" borderId="21" xfId="0" applyNumberFormat="1" applyFont="1" applyFill="1" applyBorder="1" applyAlignment="1">
      <alignment horizontal="center" vertical="center"/>
    </xf>
    <xf numFmtId="173" fontId="68" fillId="33" borderId="0" xfId="0" applyNumberFormat="1" applyFont="1" applyFill="1" applyBorder="1" applyAlignment="1">
      <alignment horizontal="center" vertical="center"/>
    </xf>
    <xf numFmtId="2" fontId="67" fillId="0" borderId="23" xfId="0" applyNumberFormat="1" applyFont="1" applyFill="1" applyBorder="1" applyAlignment="1">
      <alignment horizontal="center" vertical="center"/>
    </xf>
    <xf numFmtId="172" fontId="67" fillId="0" borderId="23" xfId="0" applyNumberFormat="1" applyFont="1" applyBorder="1" applyAlignment="1">
      <alignment horizontal="center" vertical="center"/>
    </xf>
    <xf numFmtId="172" fontId="68" fillId="0" borderId="25" xfId="0" applyNumberFormat="1" applyFont="1" applyBorder="1" applyAlignment="1">
      <alignment horizontal="center" vertical="center" wrapText="1"/>
    </xf>
    <xf numFmtId="1" fontId="67" fillId="0" borderId="23" xfId="0" applyNumberFormat="1" applyFont="1" applyFill="1" applyBorder="1" applyAlignment="1">
      <alignment horizontal="center" vertical="center"/>
    </xf>
    <xf numFmtId="173" fontId="67" fillId="35" borderId="23" xfId="0" applyNumberFormat="1" applyFont="1" applyFill="1" applyBorder="1" applyAlignment="1">
      <alignment horizontal="center" vertical="center"/>
    </xf>
    <xf numFmtId="173" fontId="68" fillId="34" borderId="23" xfId="0" applyNumberFormat="1" applyFont="1" applyFill="1" applyBorder="1" applyAlignment="1">
      <alignment horizontal="center" vertical="center"/>
    </xf>
    <xf numFmtId="2" fontId="67" fillId="34" borderId="23" xfId="0" applyNumberFormat="1" applyFont="1" applyFill="1" applyBorder="1" applyAlignment="1">
      <alignment horizontal="center" vertical="center"/>
    </xf>
    <xf numFmtId="173" fontId="68" fillId="35" borderId="23" xfId="0" applyNumberFormat="1" applyFont="1" applyFill="1" applyBorder="1" applyAlignment="1">
      <alignment horizontal="center" vertical="center" wrapText="1"/>
    </xf>
    <xf numFmtId="173" fontId="68" fillId="10" borderId="26" xfId="0" applyNumberFormat="1" applyFont="1" applyFill="1" applyBorder="1" applyAlignment="1">
      <alignment horizontal="center" vertical="center" wrapText="1"/>
    </xf>
    <xf numFmtId="173" fontId="64" fillId="10" borderId="28" xfId="0" applyNumberFormat="1" applyFont="1" applyFill="1" applyBorder="1" applyAlignment="1">
      <alignment horizontal="center" vertical="center" wrapText="1"/>
    </xf>
    <xf numFmtId="173" fontId="67" fillId="10" borderId="21" xfId="0" applyNumberFormat="1" applyFont="1" applyFill="1" applyBorder="1" applyAlignment="1">
      <alignment horizontal="center" vertical="center"/>
    </xf>
    <xf numFmtId="173" fontId="67" fillId="35" borderId="13" xfId="0" applyNumberFormat="1" applyFont="1" applyFill="1" applyBorder="1" applyAlignment="1">
      <alignment horizontal="center" vertical="center"/>
    </xf>
    <xf numFmtId="173" fontId="0" fillId="0" borderId="13" xfId="0" applyNumberFormat="1" applyFont="1" applyBorder="1" applyAlignment="1">
      <alignment horizontal="center" vertical="center" wrapText="1"/>
    </xf>
    <xf numFmtId="2" fontId="67" fillId="33" borderId="13" xfId="0" applyNumberFormat="1" applyFont="1" applyFill="1" applyBorder="1" applyAlignment="1">
      <alignment horizontal="center" vertical="center"/>
    </xf>
    <xf numFmtId="2" fontId="67" fillId="34" borderId="13" xfId="0" applyNumberFormat="1" applyFont="1" applyFill="1" applyBorder="1" applyAlignment="1">
      <alignment horizontal="center" vertical="center"/>
    </xf>
    <xf numFmtId="1" fontId="67" fillId="33" borderId="13" xfId="0" applyNumberFormat="1" applyFont="1" applyFill="1" applyBorder="1" applyAlignment="1">
      <alignment horizontal="center" vertical="center"/>
    </xf>
    <xf numFmtId="173" fontId="67" fillId="10" borderId="13" xfId="0" applyNumberFormat="1" applyFont="1" applyFill="1" applyBorder="1" applyAlignment="1">
      <alignment horizontal="center" vertical="center"/>
    </xf>
    <xf numFmtId="2" fontId="67" fillId="35" borderId="13" xfId="0" applyNumberFormat="1" applyFont="1" applyFill="1" applyBorder="1" applyAlignment="1">
      <alignment horizontal="center" vertical="center"/>
    </xf>
    <xf numFmtId="2" fontId="67" fillId="0" borderId="13" xfId="0" applyNumberFormat="1" applyFont="1" applyFill="1" applyBorder="1" applyAlignment="1">
      <alignment horizontal="center" vertical="center"/>
    </xf>
    <xf numFmtId="2" fontId="67" fillId="36" borderId="13" xfId="0" applyNumberFormat="1" applyFont="1" applyFill="1" applyBorder="1" applyAlignment="1">
      <alignment horizontal="center" vertical="center"/>
    </xf>
    <xf numFmtId="10" fontId="67" fillId="34" borderId="13" xfId="0" applyNumberFormat="1" applyFont="1" applyFill="1" applyBorder="1" applyAlignment="1">
      <alignment horizontal="center" vertical="center"/>
    </xf>
    <xf numFmtId="175" fontId="67" fillId="33" borderId="13" xfId="0" applyNumberFormat="1" applyFont="1" applyFill="1" applyBorder="1" applyAlignment="1">
      <alignment horizontal="center" vertical="center"/>
    </xf>
    <xf numFmtId="1" fontId="67" fillId="34" borderId="13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172" fontId="67" fillId="33" borderId="29" xfId="0" applyNumberFormat="1" applyFont="1" applyFill="1" applyBorder="1" applyAlignment="1">
      <alignment horizontal="center" vertical="center"/>
    </xf>
    <xf numFmtId="173" fontId="67" fillId="35" borderId="19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right" vertical="center"/>
    </xf>
    <xf numFmtId="49" fontId="0" fillId="0" borderId="23" xfId="0" applyNumberFormat="1" applyFont="1" applyBorder="1" applyAlignment="1">
      <alignment horizontal="right" vertical="center"/>
    </xf>
    <xf numFmtId="49" fontId="0" fillId="0" borderId="23" xfId="0" applyNumberFormat="1" applyFont="1" applyFill="1" applyBorder="1" applyAlignment="1">
      <alignment horizontal="right" vertical="center"/>
    </xf>
    <xf numFmtId="49" fontId="0" fillId="33" borderId="23" xfId="0" applyNumberFormat="1" applyFont="1" applyFill="1" applyBorder="1" applyAlignment="1">
      <alignment horizontal="right" vertical="center"/>
    </xf>
    <xf numFmtId="49" fontId="0" fillId="33" borderId="23" xfId="0" applyNumberFormat="1" applyFont="1" applyFill="1" applyBorder="1" applyAlignment="1">
      <alignment horizontal="right" vertical="center"/>
    </xf>
    <xf numFmtId="49" fontId="0" fillId="33" borderId="25" xfId="0" applyNumberFormat="1" applyFont="1" applyFill="1" applyBorder="1" applyAlignment="1">
      <alignment horizontal="right" vertical="center"/>
    </xf>
    <xf numFmtId="49" fontId="0" fillId="33" borderId="27" xfId="0" applyNumberFormat="1" applyFont="1" applyFill="1" applyBorder="1" applyAlignment="1">
      <alignment horizontal="right" vertical="center"/>
    </xf>
    <xf numFmtId="49" fontId="0" fillId="33" borderId="0" xfId="0" applyNumberFormat="1" applyFont="1" applyFill="1" applyBorder="1" applyAlignment="1">
      <alignment horizontal="right" vertical="center"/>
    </xf>
    <xf numFmtId="49" fontId="0" fillId="0" borderId="25" xfId="0" applyNumberFormat="1" applyFont="1" applyFill="1" applyBorder="1" applyAlignment="1">
      <alignment horizontal="right" vertical="center"/>
    </xf>
    <xf numFmtId="49" fontId="0" fillId="0" borderId="27" xfId="0" applyNumberFormat="1" applyFont="1" applyFill="1" applyBorder="1" applyAlignment="1">
      <alignment horizontal="right" vertical="center"/>
    </xf>
    <xf numFmtId="49" fontId="0" fillId="0" borderId="27" xfId="0" applyNumberFormat="1" applyFont="1" applyFill="1" applyBorder="1" applyAlignment="1">
      <alignment horizontal="right" vertical="center" wrapText="1"/>
    </xf>
    <xf numFmtId="49" fontId="0" fillId="0" borderId="27" xfId="0" applyNumberFormat="1" applyFont="1" applyBorder="1" applyAlignment="1">
      <alignment horizontal="right" vertical="center"/>
    </xf>
    <xf numFmtId="49" fontId="0" fillId="33" borderId="25" xfId="0" applyNumberFormat="1" applyFont="1" applyFill="1" applyBorder="1" applyAlignment="1">
      <alignment horizontal="right" vertical="center" wrapText="1"/>
    </xf>
    <xf numFmtId="49" fontId="0" fillId="33" borderId="23" xfId="0" applyNumberFormat="1" applyFont="1" applyFill="1" applyBorder="1" applyAlignment="1">
      <alignment horizontal="right" vertical="center" wrapText="1"/>
    </xf>
    <xf numFmtId="49" fontId="0" fillId="33" borderId="27" xfId="0" applyNumberFormat="1" applyFont="1" applyFill="1" applyBorder="1" applyAlignment="1">
      <alignment horizontal="right" vertical="center" wrapText="1"/>
    </xf>
    <xf numFmtId="173" fontId="0" fillId="0" borderId="25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Fill="1" applyBorder="1" applyAlignment="1">
      <alignment horizontal="center" vertical="center" wrapText="1"/>
    </xf>
    <xf numFmtId="173" fontId="3" fillId="36" borderId="0" xfId="0" applyNumberFormat="1" applyFont="1" applyFill="1" applyBorder="1" applyAlignment="1">
      <alignment horizontal="center" vertical="center"/>
    </xf>
    <xf numFmtId="173" fontId="3" fillId="36" borderId="23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right" vertical="center"/>
    </xf>
    <xf numFmtId="49" fontId="0" fillId="33" borderId="25" xfId="0" applyNumberFormat="1" applyFont="1" applyFill="1" applyBorder="1" applyAlignment="1">
      <alignment horizontal="right" vertical="center"/>
    </xf>
    <xf numFmtId="49" fontId="0" fillId="34" borderId="23" xfId="0" applyNumberFormat="1" applyFont="1" applyFill="1" applyBorder="1" applyAlignment="1">
      <alignment horizontal="right" vertical="center"/>
    </xf>
    <xf numFmtId="175" fontId="0" fillId="0" borderId="0" xfId="0" applyNumberFormat="1" applyFont="1" applyAlignment="1">
      <alignment/>
    </xf>
    <xf numFmtId="49" fontId="0" fillId="0" borderId="23" xfId="0" applyNumberFormat="1" applyFont="1" applyFill="1" applyBorder="1" applyAlignment="1">
      <alignment horizontal="right" vertical="center"/>
    </xf>
    <xf numFmtId="49" fontId="0" fillId="0" borderId="23" xfId="0" applyNumberFormat="1" applyFont="1" applyBorder="1" applyAlignment="1">
      <alignment horizontal="right" vertical="center"/>
    </xf>
    <xf numFmtId="173" fontId="67" fillId="34" borderId="19" xfId="0" applyNumberFormat="1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173" fontId="68" fillId="10" borderId="23" xfId="0" applyNumberFormat="1" applyFont="1" applyFill="1" applyBorder="1" applyAlignment="1">
      <alignment horizontal="center" vertical="center"/>
    </xf>
    <xf numFmtId="0" fontId="68" fillId="33" borderId="27" xfId="0" applyFont="1" applyFill="1" applyBorder="1" applyAlignment="1">
      <alignment horizontal="center" vertical="center"/>
    </xf>
    <xf numFmtId="173" fontId="68" fillId="35" borderId="25" xfId="0" applyNumberFormat="1" applyFont="1" applyFill="1" applyBorder="1" applyAlignment="1">
      <alignment horizontal="center" vertical="center"/>
    </xf>
    <xf numFmtId="172" fontId="68" fillId="0" borderId="23" xfId="0" applyNumberFormat="1" applyFont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Continuous"/>
    </xf>
    <xf numFmtId="173" fontId="67" fillId="34" borderId="13" xfId="0" applyNumberFormat="1" applyFont="1" applyFill="1" applyBorder="1" applyAlignment="1">
      <alignment horizontal="center" vertical="center"/>
    </xf>
    <xf numFmtId="173" fontId="0" fillId="0" borderId="21" xfId="0" applyNumberFormat="1" applyFont="1" applyBorder="1" applyAlignment="1">
      <alignment horizontal="center" vertical="center" wrapText="1"/>
    </xf>
    <xf numFmtId="2" fontId="67" fillId="0" borderId="21" xfId="0" applyNumberFormat="1" applyFont="1" applyFill="1" applyBorder="1" applyAlignment="1">
      <alignment horizontal="center" vertical="center"/>
    </xf>
    <xf numFmtId="174" fontId="67" fillId="35" borderId="21" xfId="0" applyNumberFormat="1" applyFont="1" applyFill="1" applyBorder="1" applyAlignment="1">
      <alignment horizontal="center" vertical="center"/>
    </xf>
    <xf numFmtId="173" fontId="0" fillId="0" borderId="13" xfId="0" applyNumberFormat="1" applyFont="1" applyBorder="1" applyAlignment="1">
      <alignment horizontal="center" vertical="center"/>
    </xf>
    <xf numFmtId="172" fontId="63" fillId="0" borderId="14" xfId="0" applyNumberFormat="1" applyFont="1" applyBorder="1" applyAlignment="1">
      <alignment horizontal="center" vertical="center" wrapText="1"/>
    </xf>
    <xf numFmtId="173" fontId="15" fillId="35" borderId="13" xfId="0" applyNumberFormat="1" applyFont="1" applyFill="1" applyBorder="1" applyAlignment="1">
      <alignment horizontal="center" vertical="center"/>
    </xf>
    <xf numFmtId="173" fontId="15" fillId="33" borderId="13" xfId="0" applyNumberFormat="1" applyFont="1" applyFill="1" applyBorder="1" applyAlignment="1">
      <alignment horizontal="center" vertical="center"/>
    </xf>
    <xf numFmtId="173" fontId="15" fillId="36" borderId="13" xfId="0" applyNumberFormat="1" applyFont="1" applyFill="1" applyBorder="1" applyAlignment="1">
      <alignment horizontal="center" vertical="center"/>
    </xf>
    <xf numFmtId="1" fontId="15" fillId="34" borderId="13" xfId="0" applyNumberFormat="1" applyFont="1" applyFill="1" applyBorder="1" applyAlignment="1">
      <alignment horizontal="center" vertical="center"/>
    </xf>
    <xf numFmtId="173" fontId="15" fillId="34" borderId="13" xfId="0" applyNumberFormat="1" applyFont="1" applyFill="1" applyBorder="1" applyAlignment="1">
      <alignment horizontal="center" vertical="center"/>
    </xf>
    <xf numFmtId="172" fontId="66" fillId="0" borderId="13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73" fontId="0" fillId="0" borderId="23" xfId="0" applyNumberFormat="1" applyFont="1" applyBorder="1" applyAlignment="1">
      <alignment vertical="center" wrapText="1"/>
    </xf>
    <xf numFmtId="172" fontId="66" fillId="0" borderId="30" xfId="0" applyNumberFormat="1" applyFont="1" applyBorder="1" applyAlignment="1">
      <alignment horizontal="center" vertical="center"/>
    </xf>
    <xf numFmtId="173" fontId="18" fillId="0" borderId="13" xfId="0" applyNumberFormat="1" applyFont="1" applyFill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/>
    </xf>
    <xf numFmtId="172" fontId="18" fillId="0" borderId="13" xfId="0" applyNumberFormat="1" applyFont="1" applyFill="1" applyBorder="1" applyAlignment="1">
      <alignment horizontal="center" vertical="center"/>
    </xf>
    <xf numFmtId="173" fontId="18" fillId="0" borderId="13" xfId="0" applyNumberFormat="1" applyFont="1" applyBorder="1" applyAlignment="1">
      <alignment horizontal="center" vertical="center"/>
    </xf>
    <xf numFmtId="173" fontId="18" fillId="33" borderId="13" xfId="0" applyNumberFormat="1" applyFont="1" applyFill="1" applyBorder="1" applyAlignment="1">
      <alignment horizontal="center" vertical="center"/>
    </xf>
    <xf numFmtId="173" fontId="18" fillId="35" borderId="13" xfId="0" applyNumberFormat="1" applyFont="1" applyFill="1" applyBorder="1" applyAlignment="1">
      <alignment horizontal="center" vertical="center"/>
    </xf>
    <xf numFmtId="173" fontId="18" fillId="0" borderId="31" xfId="0" applyNumberFormat="1" applyFont="1" applyFill="1" applyBorder="1" applyAlignment="1">
      <alignment horizontal="center" vertical="center"/>
    </xf>
    <xf numFmtId="173" fontId="18" fillId="34" borderId="13" xfId="0" applyNumberFormat="1" applyFont="1" applyFill="1" applyBorder="1" applyAlignment="1">
      <alignment horizontal="center" vertical="center"/>
    </xf>
    <xf numFmtId="173" fontId="18" fillId="33" borderId="30" xfId="0" applyNumberFormat="1" applyFont="1" applyFill="1" applyBorder="1" applyAlignment="1">
      <alignment horizontal="center" vertical="center"/>
    </xf>
    <xf numFmtId="172" fontId="18" fillId="33" borderId="13" xfId="0" applyNumberFormat="1" applyFont="1" applyFill="1" applyBorder="1" applyAlignment="1">
      <alignment horizontal="center" vertical="center"/>
    </xf>
    <xf numFmtId="1" fontId="18" fillId="33" borderId="13" xfId="0" applyNumberFormat="1" applyFont="1" applyFill="1" applyBorder="1" applyAlignment="1">
      <alignment horizontal="center" vertical="center"/>
    </xf>
    <xf numFmtId="173" fontId="18" fillId="36" borderId="13" xfId="0" applyNumberFormat="1" applyFont="1" applyFill="1" applyBorder="1" applyAlignment="1">
      <alignment horizontal="center" vertical="center"/>
    </xf>
    <xf numFmtId="10" fontId="18" fillId="34" borderId="13" xfId="0" applyNumberFormat="1" applyFont="1" applyFill="1" applyBorder="1" applyAlignment="1">
      <alignment horizontal="center" vertical="center"/>
    </xf>
    <xf numFmtId="1" fontId="18" fillId="34" borderId="13" xfId="0" applyNumberFormat="1" applyFont="1" applyFill="1" applyBorder="1" applyAlignment="1">
      <alignment horizontal="center" vertical="center"/>
    </xf>
    <xf numFmtId="174" fontId="67" fillId="0" borderId="13" xfId="0" applyNumberFormat="1" applyFont="1" applyBorder="1" applyAlignment="1">
      <alignment horizontal="center" vertical="center"/>
    </xf>
    <xf numFmtId="174" fontId="18" fillId="33" borderId="13" xfId="0" applyNumberFormat="1" applyFont="1" applyFill="1" applyBorder="1" applyAlignment="1">
      <alignment horizontal="center" vertical="center"/>
    </xf>
    <xf numFmtId="172" fontId="67" fillId="33" borderId="18" xfId="0" applyNumberFormat="1" applyFont="1" applyFill="1" applyBorder="1" applyAlignment="1">
      <alignment horizontal="center" vertical="center"/>
    </xf>
    <xf numFmtId="179" fontId="0" fillId="0" borderId="13" xfId="0" applyNumberFormat="1" applyFont="1" applyBorder="1" applyAlignment="1">
      <alignment horizontal="center" vertical="center"/>
    </xf>
    <xf numFmtId="1" fontId="67" fillId="0" borderId="13" xfId="0" applyNumberFormat="1" applyFont="1" applyFill="1" applyBorder="1" applyAlignment="1">
      <alignment horizontal="center" vertical="center"/>
    </xf>
    <xf numFmtId="172" fontId="67" fillId="0" borderId="13" xfId="0" applyNumberFormat="1" applyFont="1" applyFill="1" applyBorder="1" applyAlignment="1">
      <alignment horizontal="center" vertical="center"/>
    </xf>
    <xf numFmtId="2" fontId="18" fillId="33" borderId="13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175" fontId="18" fillId="0" borderId="13" xfId="0" applyNumberFormat="1" applyFont="1" applyFill="1" applyBorder="1" applyAlignment="1">
      <alignment horizontal="center" vertical="center"/>
    </xf>
    <xf numFmtId="175" fontId="19" fillId="0" borderId="13" xfId="0" applyNumberFormat="1" applyFont="1" applyFill="1" applyBorder="1" applyAlignment="1">
      <alignment horizontal="center" vertical="center"/>
    </xf>
    <xf numFmtId="2" fontId="19" fillId="36" borderId="13" xfId="0" applyNumberFormat="1" applyFont="1" applyFill="1" applyBorder="1" applyAlignment="1">
      <alignment horizontal="center" vertical="center"/>
    </xf>
    <xf numFmtId="2" fontId="18" fillId="34" borderId="13" xfId="0" applyNumberFormat="1" applyFont="1" applyFill="1" applyBorder="1" applyAlignment="1">
      <alignment horizontal="center" vertical="center"/>
    </xf>
    <xf numFmtId="2" fontId="18" fillId="35" borderId="13" xfId="0" applyNumberFormat="1" applyFont="1" applyFill="1" applyBorder="1" applyAlignment="1">
      <alignment horizontal="center" vertical="center"/>
    </xf>
    <xf numFmtId="173" fontId="67" fillId="0" borderId="13" xfId="0" applyNumberFormat="1" applyFont="1" applyFill="1" applyBorder="1" applyAlignment="1">
      <alignment horizontal="center" vertical="center"/>
    </xf>
    <xf numFmtId="173" fontId="67" fillId="0" borderId="13" xfId="0" applyNumberFormat="1" applyFont="1" applyBorder="1" applyAlignment="1">
      <alignment horizontal="center" vertical="center"/>
    </xf>
    <xf numFmtId="173" fontId="67" fillId="33" borderId="13" xfId="0" applyNumberFormat="1" applyFont="1" applyFill="1" applyBorder="1" applyAlignment="1">
      <alignment horizontal="center" vertical="center"/>
    </xf>
    <xf numFmtId="173" fontId="67" fillId="36" borderId="13" xfId="0" applyNumberFormat="1" applyFont="1" applyFill="1" applyBorder="1" applyAlignment="1">
      <alignment horizontal="center" vertical="center"/>
    </xf>
    <xf numFmtId="173" fontId="66" fillId="10" borderId="16" xfId="0" applyNumberFormat="1" applyFont="1" applyFill="1" applyBorder="1" applyAlignment="1">
      <alignment horizontal="center" vertical="center"/>
    </xf>
    <xf numFmtId="175" fontId="67" fillId="0" borderId="13" xfId="0" applyNumberFormat="1" applyFont="1" applyFill="1" applyBorder="1" applyAlignment="1">
      <alignment horizontal="center" vertical="center"/>
    </xf>
    <xf numFmtId="10" fontId="67" fillId="33" borderId="13" xfId="0" applyNumberFormat="1" applyFont="1" applyFill="1" applyBorder="1" applyAlignment="1">
      <alignment horizontal="center" vertical="center"/>
    </xf>
    <xf numFmtId="218" fontId="67" fillId="0" borderId="13" xfId="0" applyNumberFormat="1" applyFont="1" applyBorder="1" applyAlignment="1">
      <alignment horizontal="center" vertical="center"/>
    </xf>
    <xf numFmtId="174" fontId="67" fillId="0" borderId="13" xfId="0" applyNumberFormat="1" applyFont="1" applyFill="1" applyBorder="1" applyAlignment="1">
      <alignment horizontal="center" vertical="center"/>
    </xf>
    <xf numFmtId="10" fontId="67" fillId="34" borderId="13" xfId="0" applyNumberFormat="1" applyFont="1" applyFill="1" applyBorder="1" applyAlignment="1">
      <alignment horizontal="center" vertical="center" wrapText="1"/>
    </xf>
    <xf numFmtId="173" fontId="66" fillId="10" borderId="31" xfId="0" applyNumberFormat="1" applyFont="1" applyFill="1" applyBorder="1" applyAlignment="1">
      <alignment horizontal="center" vertical="center"/>
    </xf>
    <xf numFmtId="172" fontId="67" fillId="34" borderId="13" xfId="0" applyNumberFormat="1" applyFont="1" applyFill="1" applyBorder="1" applyAlignment="1">
      <alignment horizontal="center" vertical="center"/>
    </xf>
    <xf numFmtId="174" fontId="67" fillId="34" borderId="13" xfId="0" applyNumberFormat="1" applyFont="1" applyFill="1" applyBorder="1" applyAlignment="1">
      <alignment horizontal="center" vertical="center"/>
    </xf>
    <xf numFmtId="173" fontId="0" fillId="0" borderId="13" xfId="0" applyNumberFormat="1" applyFont="1" applyBorder="1" applyAlignment="1">
      <alignment vertical="center" wrapText="1"/>
    </xf>
    <xf numFmtId="2" fontId="67" fillId="0" borderId="13" xfId="0" applyNumberFormat="1" applyFont="1" applyBorder="1" applyAlignment="1">
      <alignment horizontal="center" vertical="center"/>
    </xf>
    <xf numFmtId="180" fontId="67" fillId="33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1" fontId="67" fillId="0" borderId="21" xfId="0" applyNumberFormat="1" applyFont="1" applyFill="1" applyBorder="1" applyAlignment="1">
      <alignment horizontal="center" vertical="center"/>
    </xf>
    <xf numFmtId="10" fontId="67" fillId="33" borderId="21" xfId="0" applyNumberFormat="1" applyFont="1" applyFill="1" applyBorder="1" applyAlignment="1">
      <alignment horizontal="center" vertical="center"/>
    </xf>
    <xf numFmtId="2" fontId="67" fillId="34" borderId="21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2" fontId="66" fillId="10" borderId="30" xfId="0" applyNumberFormat="1" applyFont="1" applyFill="1" applyBorder="1" applyAlignment="1">
      <alignment horizontal="center" vertical="center"/>
    </xf>
    <xf numFmtId="2" fontId="66" fillId="34" borderId="30" xfId="0" applyNumberFormat="1" applyFont="1" applyFill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 wrapText="1"/>
    </xf>
    <xf numFmtId="173" fontId="0" fillId="0" borderId="25" xfId="0" applyNumberFormat="1" applyFont="1" applyBorder="1" applyAlignment="1">
      <alignment horizontal="center" vertical="center"/>
    </xf>
    <xf numFmtId="173" fontId="67" fillId="0" borderId="23" xfId="0" applyNumberFormat="1" applyFont="1" applyFill="1" applyBorder="1" applyAlignment="1">
      <alignment horizontal="center" vertical="center"/>
    </xf>
    <xf numFmtId="172" fontId="67" fillId="0" borderId="23" xfId="0" applyNumberFormat="1" applyFont="1" applyFill="1" applyBorder="1" applyAlignment="1">
      <alignment horizontal="center" vertical="center"/>
    </xf>
    <xf numFmtId="173" fontId="67" fillId="0" borderId="23" xfId="0" applyNumberFormat="1" applyFont="1" applyBorder="1" applyAlignment="1">
      <alignment horizontal="center" vertical="center"/>
    </xf>
    <xf numFmtId="173" fontId="67" fillId="33" borderId="23" xfId="0" applyNumberFormat="1" applyFont="1" applyFill="1" applyBorder="1" applyAlignment="1">
      <alignment horizontal="center" vertical="center"/>
    </xf>
    <xf numFmtId="172" fontId="67" fillId="0" borderId="25" xfId="0" applyNumberFormat="1" applyFont="1" applyFill="1" applyBorder="1" applyAlignment="1">
      <alignment horizontal="center" vertical="center"/>
    </xf>
    <xf numFmtId="173" fontId="67" fillId="34" borderId="23" xfId="0" applyNumberFormat="1" applyFont="1" applyFill="1" applyBorder="1" applyAlignment="1">
      <alignment horizontal="center" vertical="center"/>
    </xf>
    <xf numFmtId="172" fontId="67" fillId="33" borderId="25" xfId="0" applyNumberFormat="1" applyFont="1" applyFill="1" applyBorder="1" applyAlignment="1">
      <alignment horizontal="center" vertical="center"/>
    </xf>
    <xf numFmtId="173" fontId="67" fillId="36" borderId="23" xfId="0" applyNumberFormat="1" applyFont="1" applyFill="1" applyBorder="1" applyAlignment="1">
      <alignment horizontal="center" vertical="center"/>
    </xf>
    <xf numFmtId="174" fontId="67" fillId="33" borderId="23" xfId="0" applyNumberFormat="1" applyFont="1" applyFill="1" applyBorder="1" applyAlignment="1">
      <alignment horizontal="center" vertical="center"/>
    </xf>
    <xf numFmtId="190" fontId="67" fillId="33" borderId="23" xfId="0" applyNumberFormat="1" applyFont="1" applyFill="1" applyBorder="1" applyAlignment="1">
      <alignment horizontal="center" vertical="center"/>
    </xf>
    <xf numFmtId="172" fontId="67" fillId="33" borderId="27" xfId="0" applyNumberFormat="1" applyFont="1" applyFill="1" applyBorder="1" applyAlignment="1">
      <alignment horizontal="center" vertical="center"/>
    </xf>
    <xf numFmtId="172" fontId="67" fillId="0" borderId="33" xfId="0" applyNumberFormat="1" applyFont="1" applyFill="1" applyBorder="1" applyAlignment="1">
      <alignment horizontal="center" vertical="center"/>
    </xf>
    <xf numFmtId="179" fontId="0" fillId="0" borderId="23" xfId="0" applyNumberFormat="1" applyFont="1" applyBorder="1" applyAlignment="1">
      <alignment horizontal="center" vertical="center"/>
    </xf>
    <xf numFmtId="2" fontId="67" fillId="33" borderId="23" xfId="0" applyNumberFormat="1" applyFont="1" applyFill="1" applyBorder="1" applyAlignment="1">
      <alignment horizontal="center" vertical="center"/>
    </xf>
    <xf numFmtId="175" fontId="67" fillId="0" borderId="23" xfId="0" applyNumberFormat="1" applyFont="1" applyFill="1" applyBorder="1" applyAlignment="1">
      <alignment horizontal="center" vertical="center"/>
    </xf>
    <xf numFmtId="2" fontId="67" fillId="36" borderId="23" xfId="0" applyNumberFormat="1" applyFont="1" applyFill="1" applyBorder="1" applyAlignment="1">
      <alignment horizontal="center" vertical="center"/>
    </xf>
    <xf numFmtId="10" fontId="67" fillId="33" borderId="23" xfId="0" applyNumberFormat="1" applyFont="1" applyFill="1" applyBorder="1" applyAlignment="1">
      <alignment horizontal="center" vertical="center"/>
    </xf>
    <xf numFmtId="2" fontId="67" fillId="35" borderId="23" xfId="0" applyNumberFormat="1" applyFont="1" applyFill="1" applyBorder="1" applyAlignment="1">
      <alignment horizontal="center" vertical="center"/>
    </xf>
    <xf numFmtId="173" fontId="0" fillId="0" borderId="23" xfId="0" applyNumberFormat="1" applyFont="1" applyBorder="1" applyAlignment="1">
      <alignment horizontal="center" vertical="center" wrapText="1"/>
    </xf>
    <xf numFmtId="174" fontId="67" fillId="0" borderId="23" xfId="0" applyNumberFormat="1" applyFont="1" applyFill="1" applyBorder="1" applyAlignment="1">
      <alignment horizontal="center" vertical="center"/>
    </xf>
    <xf numFmtId="175" fontId="67" fillId="33" borderId="23" xfId="0" applyNumberFormat="1" applyFont="1" applyFill="1" applyBorder="1" applyAlignment="1">
      <alignment horizontal="center" vertical="center"/>
    </xf>
    <xf numFmtId="10" fontId="67" fillId="34" borderId="23" xfId="0" applyNumberFormat="1" applyFont="1" applyFill="1" applyBorder="1" applyAlignment="1">
      <alignment horizontal="center" vertical="center" wrapText="1"/>
    </xf>
    <xf numFmtId="2" fontId="67" fillId="0" borderId="23" xfId="0" applyNumberFormat="1" applyFont="1" applyBorder="1" applyAlignment="1">
      <alignment horizontal="center" vertical="center"/>
    </xf>
    <xf numFmtId="1" fontId="67" fillId="0" borderId="30" xfId="0" applyNumberFormat="1" applyFont="1" applyFill="1" applyBorder="1" applyAlignment="1">
      <alignment horizontal="center" vertical="center"/>
    </xf>
    <xf numFmtId="179" fontId="64" fillId="0" borderId="0" xfId="0" applyNumberFormat="1" applyFont="1" applyBorder="1" applyAlignment="1">
      <alignment vertical="center"/>
    </xf>
    <xf numFmtId="173" fontId="15" fillId="10" borderId="16" xfId="0" applyNumberFormat="1" applyFont="1" applyFill="1" applyBorder="1" applyAlignment="1">
      <alignment horizontal="center" vertical="center"/>
    </xf>
    <xf numFmtId="174" fontId="15" fillId="0" borderId="30" xfId="0" applyNumberFormat="1" applyFont="1" applyFill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center"/>
    </xf>
    <xf numFmtId="172" fontId="67" fillId="0" borderId="30" xfId="0" applyNumberFormat="1" applyFont="1" applyBorder="1" applyAlignment="1">
      <alignment horizontal="center" vertical="center"/>
    </xf>
    <xf numFmtId="172" fontId="67" fillId="0" borderId="25" xfId="0" applyNumberFormat="1" applyFont="1" applyBorder="1" applyAlignment="1">
      <alignment horizontal="center" vertical="center"/>
    </xf>
    <xf numFmtId="1" fontId="67" fillId="0" borderId="25" xfId="0" applyNumberFormat="1" applyFont="1" applyFill="1" applyBorder="1" applyAlignment="1">
      <alignment horizontal="center" vertical="center"/>
    </xf>
    <xf numFmtId="172" fontId="67" fillId="0" borderId="34" xfId="0" applyNumberFormat="1" applyFont="1" applyBorder="1" applyAlignment="1">
      <alignment horizontal="center" vertical="center"/>
    </xf>
    <xf numFmtId="172" fontId="67" fillId="0" borderId="35" xfId="0" applyNumberFormat="1" applyFont="1" applyBorder="1" applyAlignment="1">
      <alignment horizontal="center" vertical="center"/>
    </xf>
    <xf numFmtId="172" fontId="67" fillId="0" borderId="36" xfId="0" applyNumberFormat="1" applyFont="1" applyBorder="1" applyAlignment="1">
      <alignment horizontal="center" vertical="center"/>
    </xf>
    <xf numFmtId="172" fontId="67" fillId="0" borderId="37" xfId="0" applyNumberFormat="1" applyFont="1" applyBorder="1" applyAlignment="1">
      <alignment horizontal="center" vertical="center"/>
    </xf>
    <xf numFmtId="173" fontId="18" fillId="33" borderId="31" xfId="0" applyNumberFormat="1" applyFont="1" applyFill="1" applyBorder="1" applyAlignment="1">
      <alignment horizontal="center" vertical="center"/>
    </xf>
    <xf numFmtId="173" fontId="67" fillId="33" borderId="31" xfId="0" applyNumberFormat="1" applyFont="1" applyFill="1" applyBorder="1" applyAlignment="1">
      <alignment horizontal="center" vertical="center"/>
    </xf>
    <xf numFmtId="2" fontId="67" fillId="0" borderId="26" xfId="0" applyNumberFormat="1" applyFont="1" applyFill="1" applyBorder="1" applyAlignment="1">
      <alignment horizontal="center" vertical="center"/>
    </xf>
    <xf numFmtId="173" fontId="67" fillId="0" borderId="31" xfId="0" applyNumberFormat="1" applyFont="1" applyBorder="1" applyAlignment="1">
      <alignment horizontal="center" vertical="center"/>
    </xf>
    <xf numFmtId="2" fontId="67" fillId="33" borderId="31" xfId="0" applyNumberFormat="1" applyFont="1" applyFill="1" applyBorder="1" applyAlignment="1">
      <alignment horizontal="center" vertical="center"/>
    </xf>
    <xf numFmtId="2" fontId="67" fillId="0" borderId="31" xfId="0" applyNumberFormat="1" applyFont="1" applyFill="1" applyBorder="1" applyAlignment="1">
      <alignment horizontal="center" vertical="center"/>
    </xf>
    <xf numFmtId="2" fontId="67" fillId="33" borderId="38" xfId="0" applyNumberFormat="1" applyFont="1" applyFill="1" applyBorder="1" applyAlignment="1">
      <alignment horizontal="center" vertical="center"/>
    </xf>
    <xf numFmtId="173" fontId="68" fillId="33" borderId="28" xfId="0" applyNumberFormat="1" applyFont="1" applyFill="1" applyBorder="1" applyAlignment="1">
      <alignment horizontal="center" vertical="center"/>
    </xf>
    <xf numFmtId="2" fontId="66" fillId="34" borderId="16" xfId="0" applyNumberFormat="1" applyFont="1" applyFill="1" applyBorder="1" applyAlignment="1">
      <alignment horizontal="center" vertical="center"/>
    </xf>
    <xf numFmtId="173" fontId="67" fillId="0" borderId="26" xfId="0" applyNumberFormat="1" applyFont="1" applyFill="1" applyBorder="1" applyAlignment="1">
      <alignment horizontal="center" vertical="center"/>
    </xf>
    <xf numFmtId="173" fontId="67" fillId="0" borderId="31" xfId="0" applyNumberFormat="1" applyFont="1" applyFill="1" applyBorder="1" applyAlignment="1">
      <alignment horizontal="center" vertical="center"/>
    </xf>
    <xf numFmtId="1" fontId="67" fillId="0" borderId="26" xfId="0" applyNumberFormat="1" applyFont="1" applyFill="1" applyBorder="1" applyAlignment="1">
      <alignment horizontal="center" vertical="center"/>
    </xf>
    <xf numFmtId="173" fontId="17" fillId="35" borderId="27" xfId="0" applyNumberFormat="1" applyFont="1" applyFill="1" applyBorder="1" applyAlignment="1">
      <alignment vertical="center"/>
    </xf>
    <xf numFmtId="173" fontId="17" fillId="35" borderId="23" xfId="0" applyNumberFormat="1" applyFont="1" applyFill="1" applyBorder="1" applyAlignment="1">
      <alignment vertical="center"/>
    </xf>
    <xf numFmtId="173" fontId="17" fillId="10" borderId="28" xfId="0" applyNumberFormat="1" applyFont="1" applyFill="1" applyBorder="1" applyAlignment="1">
      <alignment vertical="center"/>
    </xf>
    <xf numFmtId="1" fontId="66" fillId="34" borderId="30" xfId="0" applyNumberFormat="1" applyFont="1" applyFill="1" applyBorder="1" applyAlignment="1">
      <alignment horizontal="center" vertical="center"/>
    </xf>
    <xf numFmtId="172" fontId="67" fillId="34" borderId="19" xfId="0" applyNumberFormat="1" applyFont="1" applyFill="1" applyBorder="1" applyAlignment="1">
      <alignment horizontal="center" vertical="center"/>
    </xf>
    <xf numFmtId="172" fontId="68" fillId="0" borderId="23" xfId="0" applyNumberFormat="1" applyFont="1" applyFill="1" applyBorder="1" applyAlignment="1">
      <alignment horizontal="center" vertical="center" wrapText="1"/>
    </xf>
    <xf numFmtId="172" fontId="15" fillId="10" borderId="16" xfId="0" applyNumberFormat="1" applyFont="1" applyFill="1" applyBorder="1" applyAlignment="1">
      <alignment horizontal="center" vertical="center"/>
    </xf>
    <xf numFmtId="172" fontId="66" fillId="10" borderId="16" xfId="0" applyNumberFormat="1" applyFont="1" applyFill="1" applyBorder="1" applyAlignment="1">
      <alignment horizontal="center" vertical="center"/>
    </xf>
    <xf numFmtId="2" fontId="66" fillId="37" borderId="30" xfId="0" applyNumberFormat="1" applyFont="1" applyFill="1" applyBorder="1" applyAlignment="1">
      <alignment horizontal="center" vertical="center"/>
    </xf>
    <xf numFmtId="1" fontId="66" fillId="10" borderId="16" xfId="0" applyNumberFormat="1" applyFont="1" applyFill="1" applyBorder="1" applyAlignment="1">
      <alignment horizontal="center" vertical="center"/>
    </xf>
    <xf numFmtId="2" fontId="66" fillId="34" borderId="34" xfId="0" applyNumberFormat="1" applyFont="1" applyFill="1" applyBorder="1" applyAlignment="1">
      <alignment horizontal="center" vertical="center"/>
    </xf>
    <xf numFmtId="1" fontId="66" fillId="34" borderId="34" xfId="0" applyNumberFormat="1" applyFont="1" applyFill="1" applyBorder="1" applyAlignment="1">
      <alignment horizontal="center" vertical="center"/>
    </xf>
    <xf numFmtId="2" fontId="66" fillId="10" borderId="34" xfId="0" applyNumberFormat="1" applyFont="1" applyFill="1" applyBorder="1" applyAlignment="1">
      <alignment horizontal="center" vertical="center"/>
    </xf>
    <xf numFmtId="192" fontId="66" fillId="34" borderId="34" xfId="0" applyNumberFormat="1" applyFont="1" applyFill="1" applyBorder="1" applyAlignment="1">
      <alignment horizontal="center" vertical="center"/>
    </xf>
    <xf numFmtId="2" fontId="66" fillId="34" borderId="39" xfId="0" applyNumberFormat="1" applyFont="1" applyFill="1" applyBorder="1" applyAlignment="1">
      <alignment horizontal="center" vertical="center"/>
    </xf>
    <xf numFmtId="172" fontId="66" fillId="34" borderId="34" xfId="0" applyNumberFormat="1" applyFont="1" applyFill="1" applyBorder="1" applyAlignment="1">
      <alignment horizontal="center" vertical="center"/>
    </xf>
    <xf numFmtId="1" fontId="66" fillId="37" borderId="34" xfId="0" applyNumberFormat="1" applyFont="1" applyFill="1" applyBorder="1" applyAlignment="1">
      <alignment horizontal="center" vertical="center"/>
    </xf>
    <xf numFmtId="192" fontId="66" fillId="10" borderId="39" xfId="0" applyNumberFormat="1" applyFont="1" applyFill="1" applyBorder="1" applyAlignment="1">
      <alignment horizontal="center" vertical="center"/>
    </xf>
    <xf numFmtId="173" fontId="69" fillId="38" borderId="30" xfId="0" applyNumberFormat="1" applyFont="1" applyFill="1" applyBorder="1" applyAlignment="1">
      <alignment horizontal="center" vertical="center" wrapText="1"/>
    </xf>
    <xf numFmtId="2" fontId="0" fillId="0" borderId="34" xfId="0" applyNumberFormat="1" applyFont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40" xfId="0" applyFont="1" applyBorder="1" applyAlignment="1">
      <alignment/>
    </xf>
    <xf numFmtId="173" fontId="66" fillId="0" borderId="13" xfId="0" applyNumberFormat="1" applyFont="1" applyFill="1" applyBorder="1" applyAlignment="1">
      <alignment horizontal="center" vertical="center"/>
    </xf>
    <xf numFmtId="2" fontId="66" fillId="0" borderId="13" xfId="0" applyNumberFormat="1" applyFont="1" applyBorder="1" applyAlignment="1">
      <alignment horizontal="center" vertical="center"/>
    </xf>
    <xf numFmtId="172" fontId="66" fillId="0" borderId="13" xfId="0" applyNumberFormat="1" applyFont="1" applyFill="1" applyBorder="1" applyAlignment="1">
      <alignment horizontal="center" vertical="center"/>
    </xf>
    <xf numFmtId="173" fontId="66" fillId="0" borderId="13" xfId="0" applyNumberFormat="1" applyFont="1" applyBorder="1" applyAlignment="1">
      <alignment horizontal="center" vertical="center"/>
    </xf>
    <xf numFmtId="172" fontId="66" fillId="33" borderId="13" xfId="0" applyNumberFormat="1" applyFont="1" applyFill="1" applyBorder="1" applyAlignment="1">
      <alignment horizontal="center" vertical="center"/>
    </xf>
    <xf numFmtId="173" fontId="66" fillId="35" borderId="13" xfId="0" applyNumberFormat="1" applyFont="1" applyFill="1" applyBorder="1" applyAlignment="1">
      <alignment horizontal="center" vertical="center"/>
    </xf>
    <xf numFmtId="173" fontId="66" fillId="33" borderId="13" xfId="0" applyNumberFormat="1" applyFont="1" applyFill="1" applyBorder="1" applyAlignment="1">
      <alignment horizontal="center" vertical="center"/>
    </xf>
    <xf numFmtId="173" fontId="66" fillId="33" borderId="30" xfId="0" applyNumberFormat="1" applyFont="1" applyFill="1" applyBorder="1" applyAlignment="1">
      <alignment horizontal="center" vertical="center"/>
    </xf>
    <xf numFmtId="1" fontId="66" fillId="33" borderId="13" xfId="0" applyNumberFormat="1" applyFont="1" applyFill="1" applyBorder="1" applyAlignment="1">
      <alignment horizontal="center" vertical="center"/>
    </xf>
    <xf numFmtId="10" fontId="15" fillId="34" borderId="13" xfId="0" applyNumberFormat="1" applyFont="1" applyFill="1" applyBorder="1" applyAlignment="1">
      <alignment horizontal="center" vertical="center"/>
    </xf>
    <xf numFmtId="174" fontId="66" fillId="0" borderId="13" xfId="0" applyNumberFormat="1" applyFont="1" applyBorder="1" applyAlignment="1">
      <alignment horizontal="center" vertical="center"/>
    </xf>
    <xf numFmtId="172" fontId="66" fillId="0" borderId="13" xfId="0" applyNumberFormat="1" applyFont="1" applyBorder="1" applyAlignment="1">
      <alignment horizontal="center" vertical="center"/>
    </xf>
    <xf numFmtId="173" fontId="66" fillId="34" borderId="13" xfId="0" applyNumberFormat="1" applyFont="1" applyFill="1" applyBorder="1" applyAlignment="1">
      <alignment horizontal="center" vertical="center"/>
    </xf>
    <xf numFmtId="172" fontId="66" fillId="33" borderId="18" xfId="0" applyNumberFormat="1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173" fontId="69" fillId="38" borderId="30" xfId="0" applyNumberFormat="1" applyFont="1" applyFill="1" applyBorder="1" applyAlignment="1">
      <alignment horizontal="center" vertical="center"/>
    </xf>
    <xf numFmtId="173" fontId="69" fillId="38" borderId="25" xfId="0" applyNumberFormat="1" applyFont="1" applyFill="1" applyBorder="1" applyAlignment="1">
      <alignment vertical="center"/>
    </xf>
    <xf numFmtId="173" fontId="69" fillId="38" borderId="25" xfId="0" applyNumberFormat="1" applyFont="1" applyFill="1" applyBorder="1" applyAlignment="1">
      <alignment horizontal="center" vertical="center"/>
    </xf>
    <xf numFmtId="173" fontId="69" fillId="38" borderId="30" xfId="0" applyNumberFormat="1" applyFont="1" applyFill="1" applyBorder="1" applyAlignment="1">
      <alignment vertical="center"/>
    </xf>
    <xf numFmtId="173" fontId="69" fillId="38" borderId="25" xfId="0" applyNumberFormat="1" applyFont="1" applyFill="1" applyBorder="1" applyAlignment="1">
      <alignment horizontal="center" vertical="center" wrapText="1"/>
    </xf>
    <xf numFmtId="173" fontId="69" fillId="38" borderId="34" xfId="0" applyNumberFormat="1" applyFont="1" applyFill="1" applyBorder="1" applyAlignment="1">
      <alignment horizontal="center" vertical="center"/>
    </xf>
    <xf numFmtId="173" fontId="69" fillId="38" borderId="35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Border="1" applyAlignment="1">
      <alignment horizontal="center" vertical="center" wrapText="1"/>
    </xf>
    <xf numFmtId="190" fontId="66" fillId="34" borderId="35" xfId="0" applyNumberFormat="1" applyFont="1" applyFill="1" applyBorder="1" applyAlignment="1">
      <alignment horizontal="center" vertical="center"/>
    </xf>
    <xf numFmtId="2" fontId="66" fillId="34" borderId="36" xfId="0" applyNumberFormat="1" applyFont="1" applyFill="1" applyBorder="1" applyAlignment="1">
      <alignment horizontal="center" vertical="center"/>
    </xf>
    <xf numFmtId="190" fontId="66" fillId="10" borderId="35" xfId="0" applyNumberFormat="1" applyFont="1" applyFill="1" applyBorder="1" applyAlignment="1">
      <alignment horizontal="center" vertical="center"/>
    </xf>
    <xf numFmtId="2" fontId="66" fillId="10" borderId="36" xfId="0" applyNumberFormat="1" applyFont="1" applyFill="1" applyBorder="1" applyAlignment="1">
      <alignment horizontal="center" vertical="center"/>
    </xf>
    <xf numFmtId="172" fontId="68" fillId="0" borderId="23" xfId="0" applyNumberFormat="1" applyFont="1" applyFill="1" applyBorder="1" applyAlignment="1">
      <alignment horizontal="center" vertical="center"/>
    </xf>
    <xf numFmtId="172" fontId="66" fillId="34" borderId="3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right" vertical="center"/>
    </xf>
    <xf numFmtId="49" fontId="0" fillId="33" borderId="10" xfId="0" applyNumberFormat="1" applyFont="1" applyFill="1" applyBorder="1" applyAlignment="1">
      <alignment horizontal="right" vertical="center"/>
    </xf>
    <xf numFmtId="0" fontId="0" fillId="33" borderId="33" xfId="0" applyFont="1" applyFill="1" applyBorder="1" applyAlignment="1">
      <alignment horizontal="left" vertical="center"/>
    </xf>
    <xf numFmtId="173" fontId="69" fillId="38" borderId="34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Border="1" applyAlignment="1">
      <alignment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2" fontId="67" fillId="0" borderId="10" xfId="0" applyNumberFormat="1" applyFont="1" applyFill="1" applyBorder="1" applyAlignment="1">
      <alignment horizontal="center" vertical="center"/>
    </xf>
    <xf numFmtId="1" fontId="67" fillId="0" borderId="10" xfId="0" applyNumberFormat="1" applyFont="1" applyFill="1" applyBorder="1" applyAlignment="1">
      <alignment horizontal="center" vertical="center"/>
    </xf>
    <xf numFmtId="189" fontId="67" fillId="0" borderId="10" xfId="0" applyNumberFormat="1" applyFont="1" applyFill="1" applyBorder="1" applyAlignment="1">
      <alignment horizontal="center" vertical="center"/>
    </xf>
    <xf numFmtId="2" fontId="67" fillId="0" borderId="42" xfId="0" applyNumberFormat="1" applyFont="1" applyFill="1" applyBorder="1" applyAlignment="1">
      <alignment horizontal="center" vertical="center"/>
    </xf>
    <xf numFmtId="2" fontId="67" fillId="33" borderId="10" xfId="0" applyNumberFormat="1" applyFont="1" applyFill="1" applyBorder="1" applyAlignment="1">
      <alignment horizontal="center" vertical="center"/>
    </xf>
    <xf numFmtId="2" fontId="67" fillId="36" borderId="10" xfId="0" applyNumberFormat="1" applyFont="1" applyFill="1" applyBorder="1" applyAlignment="1">
      <alignment horizontal="center" vertical="center"/>
    </xf>
    <xf numFmtId="10" fontId="67" fillId="33" borderId="10" xfId="0" applyNumberFormat="1" applyFont="1" applyFill="1" applyBorder="1" applyAlignment="1">
      <alignment horizontal="center" vertical="center"/>
    </xf>
    <xf numFmtId="2" fontId="67" fillId="34" borderId="10" xfId="0" applyNumberFormat="1" applyFont="1" applyFill="1" applyBorder="1" applyAlignment="1">
      <alignment horizontal="center" vertical="center"/>
    </xf>
    <xf numFmtId="1" fontId="8" fillId="0" borderId="43" xfId="0" applyNumberFormat="1" applyFont="1" applyBorder="1" applyAlignment="1">
      <alignment horizontal="center" vertical="center" wrapText="1"/>
    </xf>
    <xf numFmtId="172" fontId="63" fillId="0" borderId="41" xfId="0" applyNumberFormat="1" applyFont="1" applyBorder="1" applyAlignment="1">
      <alignment horizontal="center" vertical="center" wrapText="1"/>
    </xf>
    <xf numFmtId="172" fontId="68" fillId="0" borderId="0" xfId="0" applyNumberFormat="1" applyFont="1" applyFill="1" applyBorder="1" applyAlignment="1">
      <alignment horizontal="center" vertical="center" wrapText="1"/>
    </xf>
    <xf numFmtId="1" fontId="66" fillId="34" borderId="36" xfId="0" applyNumberFormat="1" applyFont="1" applyFill="1" applyBorder="1" applyAlignment="1">
      <alignment horizontal="center" vertical="center"/>
    </xf>
    <xf numFmtId="2" fontId="66" fillId="33" borderId="13" xfId="0" applyNumberFormat="1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left" vertical="center"/>
    </xf>
    <xf numFmtId="192" fontId="66" fillId="34" borderId="35" xfId="0" applyNumberFormat="1" applyFont="1" applyFill="1" applyBorder="1" applyAlignment="1">
      <alignment horizontal="center" vertical="center"/>
    </xf>
    <xf numFmtId="172" fontId="66" fillId="34" borderId="36" xfId="0" applyNumberFormat="1" applyFont="1" applyFill="1" applyBorder="1" applyAlignment="1">
      <alignment horizontal="center" vertical="center"/>
    </xf>
    <xf numFmtId="192" fontId="66" fillId="10" borderId="44" xfId="0" applyNumberFormat="1" applyFont="1" applyFill="1" applyBorder="1" applyAlignment="1">
      <alignment horizontal="center" vertical="center"/>
    </xf>
    <xf numFmtId="192" fontId="66" fillId="10" borderId="45" xfId="0" applyNumberFormat="1" applyFont="1" applyFill="1" applyBorder="1" applyAlignment="1">
      <alignment horizontal="center" vertical="center"/>
    </xf>
    <xf numFmtId="172" fontId="66" fillId="10" borderId="39" xfId="0" applyNumberFormat="1" applyFont="1" applyFill="1" applyBorder="1" applyAlignment="1">
      <alignment horizontal="center" vertical="center"/>
    </xf>
    <xf numFmtId="173" fontId="66" fillId="34" borderId="30" xfId="0" applyNumberFormat="1" applyFont="1" applyFill="1" applyBorder="1" applyAlignment="1">
      <alignment horizontal="center" vertical="center"/>
    </xf>
    <xf numFmtId="173" fontId="66" fillId="34" borderId="34" xfId="0" applyNumberFormat="1" applyFont="1" applyFill="1" applyBorder="1" applyAlignment="1">
      <alignment horizontal="center" vertical="center"/>
    </xf>
    <xf numFmtId="193" fontId="66" fillId="34" borderId="35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172" fontId="0" fillId="33" borderId="10" xfId="0" applyNumberFormat="1" applyFont="1" applyFill="1" applyBorder="1" applyAlignment="1">
      <alignment horizontal="center" vertical="center"/>
    </xf>
    <xf numFmtId="49" fontId="14" fillId="34" borderId="25" xfId="0" applyNumberFormat="1" applyFont="1" applyFill="1" applyBorder="1" applyAlignment="1">
      <alignment horizontal="right" vertical="center"/>
    </xf>
    <xf numFmtId="173" fontId="68" fillId="34" borderId="25" xfId="0" applyNumberFormat="1" applyFont="1" applyFill="1" applyBorder="1" applyAlignment="1">
      <alignment horizontal="center" vertical="center"/>
    </xf>
    <xf numFmtId="173" fontId="69" fillId="38" borderId="46" xfId="0" applyNumberFormat="1" applyFont="1" applyFill="1" applyBorder="1" applyAlignment="1">
      <alignment horizontal="center" vertical="center" wrapText="1"/>
    </xf>
    <xf numFmtId="173" fontId="0" fillId="0" borderId="47" xfId="0" applyNumberFormat="1" applyFont="1" applyBorder="1" applyAlignment="1">
      <alignment vertical="center" wrapText="1"/>
    </xf>
    <xf numFmtId="0" fontId="0" fillId="0" borderId="48" xfId="0" applyBorder="1" applyAlignment="1">
      <alignment horizontal="center" vertical="center"/>
    </xf>
    <xf numFmtId="172" fontId="63" fillId="0" borderId="49" xfId="0" applyNumberFormat="1" applyFont="1" applyBorder="1" applyAlignment="1">
      <alignment horizontal="center" vertical="center"/>
    </xf>
    <xf numFmtId="2" fontId="67" fillId="0" borderId="47" xfId="0" applyNumberFormat="1" applyFont="1" applyFill="1" applyBorder="1" applyAlignment="1">
      <alignment horizontal="center" vertical="center"/>
    </xf>
    <xf numFmtId="1" fontId="67" fillId="0" borderId="47" xfId="0" applyNumberFormat="1" applyFont="1" applyFill="1" applyBorder="1" applyAlignment="1">
      <alignment horizontal="center" vertical="center"/>
    </xf>
    <xf numFmtId="172" fontId="67" fillId="0" borderId="47" xfId="0" applyNumberFormat="1" applyFont="1" applyFill="1" applyBorder="1" applyAlignment="1">
      <alignment horizontal="center" vertical="center"/>
    </xf>
    <xf numFmtId="173" fontId="67" fillId="10" borderId="47" xfId="0" applyNumberFormat="1" applyFont="1" applyFill="1" applyBorder="1" applyAlignment="1">
      <alignment horizontal="center" vertical="center"/>
    </xf>
    <xf numFmtId="173" fontId="67" fillId="35" borderId="47" xfId="0" applyNumberFormat="1" applyFont="1" applyFill="1" applyBorder="1" applyAlignment="1">
      <alignment horizontal="center" vertical="center"/>
    </xf>
    <xf numFmtId="173" fontId="67" fillId="0" borderId="47" xfId="0" applyNumberFormat="1" applyFont="1" applyFill="1" applyBorder="1" applyAlignment="1">
      <alignment horizontal="center" vertical="center"/>
    </xf>
    <xf numFmtId="2" fontId="67" fillId="33" borderId="47" xfId="0" applyNumberFormat="1" applyFont="1" applyFill="1" applyBorder="1" applyAlignment="1">
      <alignment horizontal="center" vertical="center"/>
    </xf>
    <xf numFmtId="172" fontId="67" fillId="33" borderId="47" xfId="0" applyNumberFormat="1" applyFont="1" applyFill="1" applyBorder="1" applyAlignment="1">
      <alignment horizontal="center" vertical="center"/>
    </xf>
    <xf numFmtId="173" fontId="67" fillId="33" borderId="47" xfId="0" applyNumberFormat="1" applyFont="1" applyFill="1" applyBorder="1" applyAlignment="1">
      <alignment horizontal="center" vertical="center"/>
    </xf>
    <xf numFmtId="180" fontId="67" fillId="0" borderId="47" xfId="0" applyNumberFormat="1" applyFont="1" applyFill="1" applyBorder="1" applyAlignment="1">
      <alignment horizontal="center" vertical="center"/>
    </xf>
    <xf numFmtId="2" fontId="67" fillId="36" borderId="47" xfId="0" applyNumberFormat="1" applyFont="1" applyFill="1" applyBorder="1" applyAlignment="1">
      <alignment horizontal="center" vertical="center"/>
    </xf>
    <xf numFmtId="10" fontId="67" fillId="33" borderId="47" xfId="0" applyNumberFormat="1" applyFont="1" applyFill="1" applyBorder="1" applyAlignment="1">
      <alignment horizontal="center" vertical="center"/>
    </xf>
    <xf numFmtId="1" fontId="67" fillId="34" borderId="47" xfId="0" applyNumberFormat="1" applyFont="1" applyFill="1" applyBorder="1" applyAlignment="1">
      <alignment horizontal="center" vertical="center"/>
    </xf>
    <xf numFmtId="2" fontId="67" fillId="0" borderId="50" xfId="0" applyNumberFormat="1" applyFont="1" applyFill="1" applyBorder="1" applyAlignment="1">
      <alignment horizontal="center" vertical="center"/>
    </xf>
    <xf numFmtId="172" fontId="67" fillId="0" borderId="46" xfId="0" applyNumberFormat="1" applyFont="1" applyBorder="1" applyAlignment="1">
      <alignment horizontal="center" vertical="center"/>
    </xf>
    <xf numFmtId="2" fontId="67" fillId="34" borderId="47" xfId="0" applyNumberFormat="1" applyFont="1" applyFill="1" applyBorder="1" applyAlignment="1">
      <alignment horizontal="center" vertical="center"/>
    </xf>
    <xf numFmtId="173" fontId="66" fillId="0" borderId="23" xfId="0" applyNumberFormat="1" applyFont="1" applyFill="1" applyBorder="1" applyAlignment="1">
      <alignment horizontal="center" vertical="center"/>
    </xf>
    <xf numFmtId="2" fontId="67" fillId="10" borderId="45" xfId="0" applyNumberFormat="1" applyFont="1" applyFill="1" applyBorder="1" applyAlignment="1">
      <alignment horizontal="center" vertical="center"/>
    </xf>
    <xf numFmtId="173" fontId="0" fillId="0" borderId="18" xfId="0" applyNumberFormat="1" applyFont="1" applyBorder="1" applyAlignment="1">
      <alignment horizontal="center" vertical="center"/>
    </xf>
    <xf numFmtId="2" fontId="67" fillId="34" borderId="31" xfId="0" applyNumberFormat="1" applyFont="1" applyFill="1" applyBorder="1" applyAlignment="1">
      <alignment horizontal="center" vertical="center"/>
    </xf>
    <xf numFmtId="173" fontId="67" fillId="10" borderId="31" xfId="0" applyNumberFormat="1" applyFont="1" applyFill="1" applyBorder="1" applyAlignment="1">
      <alignment horizontal="center" vertical="center"/>
    </xf>
    <xf numFmtId="49" fontId="0" fillId="0" borderId="27" xfId="0" applyNumberFormat="1" applyFont="1" applyBorder="1" applyAlignment="1">
      <alignment horizontal="right" vertical="center"/>
    </xf>
    <xf numFmtId="49" fontId="0" fillId="0" borderId="23" xfId="0" applyNumberFormat="1" applyFont="1" applyFill="1" applyBorder="1" applyAlignment="1">
      <alignment horizontal="right" vertical="center" wrapText="1"/>
    </xf>
    <xf numFmtId="173" fontId="67" fillId="0" borderId="18" xfId="0" applyNumberFormat="1" applyFont="1" applyFill="1" applyBorder="1" applyAlignment="1">
      <alignment horizontal="center" vertical="center"/>
    </xf>
    <xf numFmtId="173" fontId="67" fillId="0" borderId="32" xfId="0" applyNumberFormat="1" applyFont="1" applyFill="1" applyBorder="1" applyAlignment="1">
      <alignment horizontal="center" vertical="center"/>
    </xf>
    <xf numFmtId="173" fontId="67" fillId="33" borderId="18" xfId="0" applyNumberFormat="1" applyFont="1" applyFill="1" applyBorder="1" applyAlignment="1">
      <alignment horizontal="center" vertical="center"/>
    </xf>
    <xf numFmtId="172" fontId="68" fillId="0" borderId="27" xfId="0" applyNumberFormat="1" applyFont="1" applyFill="1" applyBorder="1" applyAlignment="1">
      <alignment horizontal="center" vertical="center"/>
    </xf>
    <xf numFmtId="172" fontId="66" fillId="34" borderId="17" xfId="0" applyNumberFormat="1" applyFont="1" applyFill="1" applyBorder="1" applyAlignment="1">
      <alignment horizontal="center" vertical="center"/>
    </xf>
    <xf numFmtId="172" fontId="66" fillId="34" borderId="12" xfId="0" applyNumberFormat="1" applyFont="1" applyFill="1" applyBorder="1" applyAlignment="1">
      <alignment horizontal="center" vertical="center"/>
    </xf>
    <xf numFmtId="173" fontId="66" fillId="0" borderId="18" xfId="0" applyNumberFormat="1" applyFont="1" applyFill="1" applyBorder="1" applyAlignment="1">
      <alignment horizontal="center" vertical="center"/>
    </xf>
    <xf numFmtId="172" fontId="15" fillId="0" borderId="3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right" vertical="center"/>
    </xf>
    <xf numFmtId="49" fontId="16" fillId="0" borderId="10" xfId="0" applyNumberFormat="1" applyFont="1" applyBorder="1" applyAlignment="1">
      <alignment horizontal="right" vertical="center"/>
    </xf>
    <xf numFmtId="49" fontId="16" fillId="33" borderId="10" xfId="0" applyNumberFormat="1" applyFont="1" applyFill="1" applyBorder="1" applyAlignment="1">
      <alignment horizontal="right" vertical="center"/>
    </xf>
    <xf numFmtId="49" fontId="0" fillId="34" borderId="23" xfId="0" applyNumberFormat="1" applyFont="1" applyFill="1" applyBorder="1" applyAlignment="1">
      <alignment horizontal="right" vertical="center"/>
    </xf>
    <xf numFmtId="172" fontId="67" fillId="34" borderId="18" xfId="0" applyNumberFormat="1" applyFont="1" applyFill="1" applyBorder="1" applyAlignment="1">
      <alignment horizontal="center" vertical="center"/>
    </xf>
    <xf numFmtId="172" fontId="66" fillId="34" borderId="20" xfId="0" applyNumberFormat="1" applyFont="1" applyFill="1" applyBorder="1" applyAlignment="1">
      <alignment horizontal="center" vertical="center"/>
    </xf>
    <xf numFmtId="2" fontId="66" fillId="34" borderId="20" xfId="0" applyNumberFormat="1" applyFont="1" applyFill="1" applyBorder="1" applyAlignment="1">
      <alignment horizontal="center" vertical="center"/>
    </xf>
    <xf numFmtId="172" fontId="66" fillId="34" borderId="13" xfId="0" applyNumberFormat="1" applyFont="1" applyFill="1" applyBorder="1" applyAlignment="1">
      <alignment horizontal="center" vertical="center"/>
    </xf>
    <xf numFmtId="49" fontId="0" fillId="34" borderId="27" xfId="0" applyNumberFormat="1" applyFont="1" applyFill="1" applyBorder="1" applyAlignment="1">
      <alignment horizontal="right" vertical="center"/>
    </xf>
    <xf numFmtId="172" fontId="67" fillId="34" borderId="27" xfId="0" applyNumberFormat="1" applyFont="1" applyFill="1" applyBorder="1" applyAlignment="1">
      <alignment horizontal="center" vertical="center"/>
    </xf>
    <xf numFmtId="172" fontId="67" fillId="34" borderId="23" xfId="0" applyNumberFormat="1" applyFont="1" applyFill="1" applyBorder="1" applyAlignment="1">
      <alignment horizontal="center" vertical="center"/>
    </xf>
    <xf numFmtId="172" fontId="18" fillId="34" borderId="13" xfId="0" applyNumberFormat="1" applyFont="1" applyFill="1" applyBorder="1" applyAlignment="1">
      <alignment horizontal="center" vertical="center"/>
    </xf>
    <xf numFmtId="172" fontId="67" fillId="34" borderId="10" xfId="0" applyNumberFormat="1" applyFont="1" applyFill="1" applyBorder="1" applyAlignment="1">
      <alignment horizontal="center" vertical="center"/>
    </xf>
    <xf numFmtId="172" fontId="67" fillId="34" borderId="47" xfId="0" applyNumberFormat="1" applyFont="1" applyFill="1" applyBorder="1" applyAlignment="1">
      <alignment horizontal="center" vertical="center"/>
    </xf>
    <xf numFmtId="172" fontId="18" fillId="34" borderId="18" xfId="0" applyNumberFormat="1" applyFont="1" applyFill="1" applyBorder="1" applyAlignment="1">
      <alignment horizontal="center" vertical="center"/>
    </xf>
    <xf numFmtId="172" fontId="67" fillId="34" borderId="29" xfId="0" applyNumberFormat="1" applyFont="1" applyFill="1" applyBorder="1" applyAlignment="1">
      <alignment horizontal="center" vertical="center"/>
    </xf>
    <xf numFmtId="190" fontId="66" fillId="10" borderId="44" xfId="0" applyNumberFormat="1" applyFont="1" applyFill="1" applyBorder="1" applyAlignment="1">
      <alignment horizontal="center" vertical="center"/>
    </xf>
    <xf numFmtId="192" fontId="66" fillId="34" borderId="36" xfId="0" applyNumberFormat="1" applyFont="1" applyFill="1" applyBorder="1" applyAlignment="1">
      <alignment horizontal="center" vertical="center"/>
    </xf>
    <xf numFmtId="2" fontId="66" fillId="34" borderId="17" xfId="0" applyNumberFormat="1" applyFont="1" applyFill="1" applyBorder="1" applyAlignment="1">
      <alignment horizontal="center" vertical="center"/>
    </xf>
    <xf numFmtId="2" fontId="66" fillId="34" borderId="12" xfId="0" applyNumberFormat="1" applyFont="1" applyFill="1" applyBorder="1" applyAlignment="1">
      <alignment horizontal="center" vertical="center"/>
    </xf>
    <xf numFmtId="190" fontId="66" fillId="34" borderId="51" xfId="0" applyNumberFormat="1" applyFont="1" applyFill="1" applyBorder="1" applyAlignment="1">
      <alignment horizontal="center" vertical="center"/>
    </xf>
    <xf numFmtId="2" fontId="66" fillId="34" borderId="43" xfId="0" applyNumberFormat="1" applyFont="1" applyFill="1" applyBorder="1" applyAlignment="1">
      <alignment horizontal="center" vertical="center"/>
    </xf>
    <xf numFmtId="49" fontId="0" fillId="0" borderId="25" xfId="0" applyNumberFormat="1" applyFont="1" applyBorder="1" applyAlignment="1">
      <alignment horizontal="right" vertical="center"/>
    </xf>
    <xf numFmtId="2" fontId="67" fillId="0" borderId="30" xfId="0" applyNumberFormat="1" applyFont="1" applyFill="1" applyBorder="1" applyAlignment="1">
      <alignment horizontal="center" vertical="center"/>
    </xf>
    <xf numFmtId="173" fontId="67" fillId="33" borderId="25" xfId="0" applyNumberFormat="1" applyFont="1" applyFill="1" applyBorder="1" applyAlignment="1">
      <alignment horizontal="center" vertical="center"/>
    </xf>
    <xf numFmtId="173" fontId="67" fillId="33" borderId="30" xfId="0" applyNumberFormat="1" applyFont="1" applyFill="1" applyBorder="1" applyAlignment="1">
      <alignment horizontal="center" vertical="center"/>
    </xf>
    <xf numFmtId="2" fontId="67" fillId="0" borderId="25" xfId="0" applyNumberFormat="1" applyFont="1" applyFill="1" applyBorder="1" applyAlignment="1">
      <alignment horizontal="center" vertical="center"/>
    </xf>
    <xf numFmtId="173" fontId="67" fillId="34" borderId="30" xfId="0" applyNumberFormat="1" applyFont="1" applyFill="1" applyBorder="1" applyAlignment="1">
      <alignment horizontal="center" vertical="center"/>
    </xf>
    <xf numFmtId="2" fontId="67" fillId="33" borderId="30" xfId="0" applyNumberFormat="1" applyFont="1" applyFill="1" applyBorder="1" applyAlignment="1">
      <alignment horizontal="center" vertical="center"/>
    </xf>
    <xf numFmtId="2" fontId="67" fillId="33" borderId="25" xfId="0" applyNumberFormat="1" applyFont="1" applyFill="1" applyBorder="1" applyAlignment="1">
      <alignment horizontal="center" vertical="center"/>
    </xf>
    <xf numFmtId="2" fontId="67" fillId="0" borderId="34" xfId="0" applyNumberFormat="1" applyFont="1" applyFill="1" applyBorder="1" applyAlignment="1">
      <alignment horizontal="center" vertical="center"/>
    </xf>
    <xf numFmtId="2" fontId="67" fillId="34" borderId="36" xfId="0" applyNumberFormat="1" applyFont="1" applyFill="1" applyBorder="1" applyAlignment="1">
      <alignment horizontal="center" vertical="center"/>
    </xf>
    <xf numFmtId="2" fontId="67" fillId="33" borderId="35" xfId="0" applyNumberFormat="1" applyFont="1" applyFill="1" applyBorder="1" applyAlignment="1">
      <alignment horizontal="center" vertical="center"/>
    </xf>
    <xf numFmtId="2" fontId="67" fillId="0" borderId="46" xfId="0" applyNumberFormat="1" applyFont="1" applyFill="1" applyBorder="1" applyAlignment="1">
      <alignment horizontal="center" vertical="center"/>
    </xf>
    <xf numFmtId="2" fontId="67" fillId="34" borderId="30" xfId="0" applyNumberFormat="1" applyFont="1" applyFill="1" applyBorder="1" applyAlignment="1">
      <alignment horizontal="center" vertical="center"/>
    </xf>
    <xf numFmtId="173" fontId="68" fillId="0" borderId="25" xfId="0" applyNumberFormat="1" applyFont="1" applyFill="1" applyBorder="1" applyAlignment="1">
      <alignment horizontal="center" vertical="center" wrapText="1"/>
    </xf>
    <xf numFmtId="172" fontId="3" fillId="10" borderId="16" xfId="0" applyNumberFormat="1" applyFont="1" applyFill="1" applyBorder="1" applyAlignment="1">
      <alignment horizontal="center" vertical="center"/>
    </xf>
    <xf numFmtId="2" fontId="67" fillId="10" borderId="16" xfId="0" applyNumberFormat="1" applyFont="1" applyFill="1" applyBorder="1" applyAlignment="1">
      <alignment horizontal="center" vertical="center"/>
    </xf>
    <xf numFmtId="173" fontId="66" fillId="10" borderId="44" xfId="0" applyNumberFormat="1" applyFont="1" applyFill="1" applyBorder="1" applyAlignment="1">
      <alignment horizontal="center" vertical="center"/>
    </xf>
    <xf numFmtId="173" fontId="66" fillId="10" borderId="52" xfId="0" applyNumberFormat="1" applyFont="1" applyFill="1" applyBorder="1" applyAlignment="1">
      <alignment horizontal="center" vertical="center"/>
    </xf>
    <xf numFmtId="173" fontId="67" fillId="10" borderId="38" xfId="0" applyNumberFormat="1" applyFont="1" applyFill="1" applyBorder="1" applyAlignment="1">
      <alignment horizontal="center" vertical="center"/>
    </xf>
    <xf numFmtId="173" fontId="67" fillId="10" borderId="50" xfId="0" applyNumberFormat="1" applyFont="1" applyFill="1" applyBorder="1" applyAlignment="1">
      <alignment horizontal="center" vertical="center"/>
    </xf>
    <xf numFmtId="2" fontId="66" fillId="10" borderId="16" xfId="0" applyNumberFormat="1" applyFont="1" applyFill="1" applyBorder="1" applyAlignment="1">
      <alignment horizontal="center" vertical="center"/>
    </xf>
    <xf numFmtId="2" fontId="66" fillId="10" borderId="39" xfId="0" applyNumberFormat="1" applyFont="1" applyFill="1" applyBorder="1" applyAlignment="1">
      <alignment horizontal="center" vertical="center"/>
    </xf>
    <xf numFmtId="2" fontId="66" fillId="10" borderId="45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3" fontId="66" fillId="0" borderId="17" xfId="0" applyNumberFormat="1" applyFont="1" applyFill="1" applyBorder="1" applyAlignment="1">
      <alignment horizontal="center" vertical="center"/>
    </xf>
    <xf numFmtId="172" fontId="18" fillId="0" borderId="17" xfId="0" applyNumberFormat="1" applyFont="1" applyFill="1" applyBorder="1" applyAlignment="1">
      <alignment horizontal="center" vertical="center"/>
    </xf>
    <xf numFmtId="1" fontId="67" fillId="0" borderId="17" xfId="0" applyNumberFormat="1" applyFont="1" applyFill="1" applyBorder="1" applyAlignment="1">
      <alignment horizontal="center" vertical="center"/>
    </xf>
    <xf numFmtId="172" fontId="67" fillId="0" borderId="0" xfId="0" applyNumberFormat="1" applyFont="1" applyFill="1" applyBorder="1" applyAlignment="1">
      <alignment horizontal="center" vertical="center"/>
    </xf>
    <xf numFmtId="172" fontId="67" fillId="0" borderId="17" xfId="0" applyNumberFormat="1" applyFont="1" applyFill="1" applyBorder="1" applyAlignment="1">
      <alignment horizontal="center" vertical="center"/>
    </xf>
    <xf numFmtId="2" fontId="67" fillId="0" borderId="0" xfId="0" applyNumberFormat="1" applyFont="1" applyFill="1" applyBorder="1" applyAlignment="1">
      <alignment horizontal="center" vertical="center"/>
    </xf>
    <xf numFmtId="2" fontId="67" fillId="0" borderId="12" xfId="0" applyNumberFormat="1" applyFont="1" applyFill="1" applyBorder="1" applyAlignment="1">
      <alignment horizontal="center" vertical="center"/>
    </xf>
    <xf numFmtId="2" fontId="67" fillId="0" borderId="17" xfId="0" applyNumberFormat="1" applyFont="1" applyFill="1" applyBorder="1" applyAlignment="1">
      <alignment horizontal="center" vertical="center"/>
    </xf>
    <xf numFmtId="172" fontId="67" fillId="0" borderId="51" xfId="0" applyNumberFormat="1" applyFont="1" applyFill="1" applyBorder="1" applyAlignment="1">
      <alignment horizontal="center" vertical="center"/>
    </xf>
    <xf numFmtId="172" fontId="67" fillId="0" borderId="53" xfId="0" applyNumberFormat="1" applyFont="1" applyFill="1" applyBorder="1" applyAlignment="1">
      <alignment horizontal="center" vertical="center"/>
    </xf>
    <xf numFmtId="172" fontId="67" fillId="33" borderId="17" xfId="0" applyNumberFormat="1" applyFont="1" applyFill="1" applyBorder="1" applyAlignment="1">
      <alignment horizontal="center" vertical="center"/>
    </xf>
    <xf numFmtId="173" fontId="17" fillId="35" borderId="54" xfId="0" applyNumberFormat="1" applyFont="1" applyFill="1" applyBorder="1" applyAlignment="1">
      <alignment vertical="center"/>
    </xf>
    <xf numFmtId="173" fontId="15" fillId="35" borderId="55" xfId="0" applyNumberFormat="1" applyFont="1" applyFill="1" applyBorder="1" applyAlignment="1">
      <alignment horizontal="center" vertical="center"/>
    </xf>
    <xf numFmtId="173" fontId="18" fillId="35" borderId="55" xfId="0" applyNumberFormat="1" applyFont="1" applyFill="1" applyBorder="1" applyAlignment="1">
      <alignment horizontal="center" vertical="center"/>
    </xf>
    <xf numFmtId="190" fontId="66" fillId="34" borderId="37" xfId="0" applyNumberFormat="1" applyFont="1" applyFill="1" applyBorder="1" applyAlignment="1">
      <alignment horizontal="center" vertical="center"/>
    </xf>
    <xf numFmtId="190" fontId="66" fillId="10" borderId="37" xfId="0" applyNumberFormat="1" applyFont="1" applyFill="1" applyBorder="1" applyAlignment="1">
      <alignment horizontal="center" vertical="center"/>
    </xf>
    <xf numFmtId="2" fontId="67" fillId="0" borderId="48" xfId="0" applyNumberFormat="1" applyFont="1" applyFill="1" applyBorder="1" applyAlignment="1">
      <alignment horizontal="center" vertical="center"/>
    </xf>
    <xf numFmtId="173" fontId="67" fillId="34" borderId="20" xfId="0" applyNumberFormat="1" applyFont="1" applyFill="1" applyBorder="1" applyAlignment="1">
      <alignment horizontal="center" vertical="center"/>
    </xf>
    <xf numFmtId="172" fontId="67" fillId="34" borderId="20" xfId="0" applyNumberFormat="1" applyFont="1" applyFill="1" applyBorder="1" applyAlignment="1">
      <alignment horizontal="center" vertical="center"/>
    </xf>
    <xf numFmtId="172" fontId="68" fillId="34" borderId="20" xfId="0" applyNumberFormat="1" applyFont="1" applyFill="1" applyBorder="1" applyAlignment="1">
      <alignment horizontal="center" vertical="center"/>
    </xf>
    <xf numFmtId="173" fontId="68" fillId="0" borderId="20" xfId="0" applyNumberFormat="1" applyFont="1" applyBorder="1" applyAlignment="1">
      <alignment horizontal="center" vertical="center"/>
    </xf>
    <xf numFmtId="173" fontId="15" fillId="35" borderId="20" xfId="0" applyNumberFormat="1" applyFont="1" applyFill="1" applyBorder="1" applyAlignment="1">
      <alignment horizontal="center" vertical="center"/>
    </xf>
    <xf numFmtId="173" fontId="68" fillId="35" borderId="20" xfId="0" applyNumberFormat="1" applyFont="1" applyFill="1" applyBorder="1" applyAlignment="1">
      <alignment horizontal="center" vertical="center" wrapText="1"/>
    </xf>
    <xf numFmtId="2" fontId="66" fillId="10" borderId="20" xfId="0" applyNumberFormat="1" applyFont="1" applyFill="1" applyBorder="1" applyAlignment="1">
      <alignment horizontal="center" vertical="center"/>
    </xf>
    <xf numFmtId="173" fontId="69" fillId="38" borderId="56" xfId="0" applyNumberFormat="1" applyFont="1" applyFill="1" applyBorder="1" applyAlignment="1">
      <alignment horizontal="center" vertical="center"/>
    </xf>
    <xf numFmtId="179" fontId="0" fillId="0" borderId="57" xfId="0" applyNumberFormat="1" applyFont="1" applyBorder="1" applyAlignment="1">
      <alignment horizontal="center" vertical="center"/>
    </xf>
    <xf numFmtId="179" fontId="0" fillId="0" borderId="58" xfId="0" applyNumberFormat="1" applyFont="1" applyBorder="1" applyAlignment="1">
      <alignment horizontal="center" vertical="center"/>
    </xf>
    <xf numFmtId="172" fontId="63" fillId="0" borderId="59" xfId="0" applyNumberFormat="1" applyFont="1" applyBorder="1" applyAlignment="1">
      <alignment horizontal="center" vertical="center"/>
    </xf>
    <xf numFmtId="173" fontId="18" fillId="0" borderId="33" xfId="0" applyNumberFormat="1" applyFont="1" applyFill="1" applyBorder="1" applyAlignment="1">
      <alignment horizontal="center" vertical="center"/>
    </xf>
    <xf numFmtId="2" fontId="18" fillId="0" borderId="33" xfId="0" applyNumberFormat="1" applyFont="1" applyBorder="1" applyAlignment="1">
      <alignment horizontal="center" vertical="center"/>
    </xf>
    <xf numFmtId="172" fontId="18" fillId="0" borderId="33" xfId="0" applyNumberFormat="1" applyFont="1" applyFill="1" applyBorder="1" applyAlignment="1">
      <alignment horizontal="center" vertical="center"/>
    </xf>
    <xf numFmtId="173" fontId="15" fillId="34" borderId="33" xfId="0" applyNumberFormat="1" applyFont="1" applyFill="1" applyBorder="1" applyAlignment="1">
      <alignment horizontal="center" vertical="center"/>
    </xf>
    <xf numFmtId="173" fontId="18" fillId="0" borderId="33" xfId="0" applyNumberFormat="1" applyFont="1" applyBorder="1" applyAlignment="1">
      <alignment horizontal="center" vertical="center"/>
    </xf>
    <xf numFmtId="173" fontId="18" fillId="34" borderId="33" xfId="0" applyNumberFormat="1" applyFont="1" applyFill="1" applyBorder="1" applyAlignment="1">
      <alignment horizontal="center" vertical="center"/>
    </xf>
    <xf numFmtId="173" fontId="15" fillId="35" borderId="33" xfId="0" applyNumberFormat="1" applyFont="1" applyFill="1" applyBorder="1" applyAlignment="1">
      <alignment horizontal="center" vertical="center"/>
    </xf>
    <xf numFmtId="173" fontId="18" fillId="0" borderId="60" xfId="0" applyNumberFormat="1" applyFont="1" applyFill="1" applyBorder="1" applyAlignment="1">
      <alignment horizontal="center" vertical="center"/>
    </xf>
    <xf numFmtId="173" fontId="18" fillId="34" borderId="22" xfId="0" applyNumberFormat="1" applyFont="1" applyFill="1" applyBorder="1" applyAlignment="1">
      <alignment horizontal="center" vertical="center"/>
    </xf>
    <xf numFmtId="173" fontId="18" fillId="0" borderId="22" xfId="0" applyNumberFormat="1" applyFont="1" applyFill="1" applyBorder="1" applyAlignment="1">
      <alignment horizontal="center" vertical="center"/>
    </xf>
    <xf numFmtId="173" fontId="18" fillId="0" borderId="61" xfId="0" applyNumberFormat="1" applyFont="1" applyFill="1" applyBorder="1" applyAlignment="1">
      <alignment horizontal="center" vertical="center"/>
    </xf>
    <xf numFmtId="172" fontId="18" fillId="0" borderId="58" xfId="0" applyNumberFormat="1" applyFont="1" applyFill="1" applyBorder="1" applyAlignment="1">
      <alignment horizontal="center" vertical="center"/>
    </xf>
    <xf numFmtId="173" fontId="18" fillId="33" borderId="56" xfId="0" applyNumberFormat="1" applyFont="1" applyFill="1" applyBorder="1" applyAlignment="1">
      <alignment horizontal="center" vertical="center"/>
    </xf>
    <xf numFmtId="172" fontId="18" fillId="33" borderId="33" xfId="0" applyNumberFormat="1" applyFont="1" applyFill="1" applyBorder="1" applyAlignment="1">
      <alignment horizontal="center" vertical="center"/>
    </xf>
    <xf numFmtId="172" fontId="67" fillId="33" borderId="33" xfId="0" applyNumberFormat="1" applyFont="1" applyFill="1" applyBorder="1" applyAlignment="1">
      <alignment horizontal="center" vertical="center"/>
    </xf>
    <xf numFmtId="173" fontId="18" fillId="35" borderId="33" xfId="0" applyNumberFormat="1" applyFont="1" applyFill="1" applyBorder="1" applyAlignment="1">
      <alignment horizontal="center" vertical="center"/>
    </xf>
    <xf numFmtId="1" fontId="18" fillId="33" borderId="33" xfId="0" applyNumberFormat="1" applyFont="1" applyFill="1" applyBorder="1" applyAlignment="1">
      <alignment horizontal="center" vertical="center"/>
    </xf>
    <xf numFmtId="173" fontId="18" fillId="36" borderId="33" xfId="0" applyNumberFormat="1" applyFont="1" applyFill="1" applyBorder="1" applyAlignment="1">
      <alignment horizontal="center" vertical="center"/>
    </xf>
    <xf numFmtId="10" fontId="18" fillId="34" borderId="33" xfId="0" applyNumberFormat="1" applyFont="1" applyFill="1" applyBorder="1" applyAlignment="1">
      <alignment horizontal="center" vertical="center"/>
    </xf>
    <xf numFmtId="1" fontId="18" fillId="34" borderId="33" xfId="0" applyNumberFormat="1" applyFont="1" applyFill="1" applyBorder="1" applyAlignment="1">
      <alignment horizontal="center" vertical="center"/>
    </xf>
    <xf numFmtId="172" fontId="67" fillId="0" borderId="56" xfId="0" applyNumberFormat="1" applyFont="1" applyBorder="1" applyAlignment="1">
      <alignment horizontal="center" vertical="center"/>
    </xf>
    <xf numFmtId="172" fontId="67" fillId="0" borderId="33" xfId="0" applyNumberFormat="1" applyFont="1" applyBorder="1" applyAlignment="1">
      <alignment horizontal="center" vertical="center"/>
    </xf>
    <xf numFmtId="174" fontId="67" fillId="0" borderId="33" xfId="0" applyNumberFormat="1" applyFont="1" applyBorder="1" applyAlignment="1">
      <alignment horizontal="center" vertical="center"/>
    </xf>
    <xf numFmtId="174" fontId="18" fillId="33" borderId="33" xfId="0" applyNumberFormat="1" applyFont="1" applyFill="1" applyBorder="1" applyAlignment="1">
      <alignment horizontal="center" vertical="center"/>
    </xf>
    <xf numFmtId="172" fontId="67" fillId="33" borderId="60" xfId="0" applyNumberFormat="1" applyFont="1" applyFill="1" applyBorder="1" applyAlignment="1">
      <alignment horizontal="center" vertical="center"/>
    </xf>
    <xf numFmtId="173" fontId="69" fillId="38" borderId="55" xfId="0" applyNumberFormat="1" applyFont="1" applyFill="1" applyBorder="1" applyAlignment="1">
      <alignment horizontal="center" vertical="center"/>
    </xf>
    <xf numFmtId="172" fontId="66" fillId="0" borderId="17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62" xfId="0" applyFont="1" applyBorder="1" applyAlignment="1">
      <alignment/>
    </xf>
    <xf numFmtId="0" fontId="17" fillId="0" borderId="63" xfId="0" applyFont="1" applyBorder="1" applyAlignment="1">
      <alignment horizontal="center"/>
    </xf>
    <xf numFmtId="190" fontId="66" fillId="34" borderId="64" xfId="0" applyNumberFormat="1" applyFont="1" applyFill="1" applyBorder="1" applyAlignment="1">
      <alignment horizontal="center" vertical="center"/>
    </xf>
    <xf numFmtId="192" fontId="66" fillId="34" borderId="37" xfId="0" applyNumberFormat="1" applyFont="1" applyFill="1" applyBorder="1" applyAlignment="1">
      <alignment horizontal="center" vertical="center"/>
    </xf>
    <xf numFmtId="190" fontId="66" fillId="10" borderId="65" xfId="0" applyNumberFormat="1" applyFont="1" applyFill="1" applyBorder="1" applyAlignment="1">
      <alignment horizontal="center" vertical="center"/>
    </xf>
    <xf numFmtId="173" fontId="0" fillId="0" borderId="30" xfId="0" applyNumberFormat="1" applyFont="1" applyBorder="1" applyAlignment="1">
      <alignment horizontal="center" vertical="center"/>
    </xf>
    <xf numFmtId="173" fontId="66" fillId="10" borderId="13" xfId="0" applyNumberFormat="1" applyFont="1" applyFill="1" applyBorder="1" applyAlignment="1">
      <alignment horizontal="center" vertical="center"/>
    </xf>
    <xf numFmtId="173" fontId="66" fillId="0" borderId="18" xfId="0" applyNumberFormat="1" applyFont="1" applyBorder="1" applyAlignment="1">
      <alignment horizontal="center" vertical="center"/>
    </xf>
    <xf numFmtId="173" fontId="66" fillId="34" borderId="19" xfId="0" applyNumberFormat="1" applyFont="1" applyFill="1" applyBorder="1" applyAlignment="1">
      <alignment horizontal="center" vertical="center"/>
    </xf>
    <xf numFmtId="173" fontId="66" fillId="0" borderId="19" xfId="0" applyNumberFormat="1" applyFont="1" applyBorder="1" applyAlignment="1">
      <alignment horizontal="center" vertical="center"/>
    </xf>
    <xf numFmtId="173" fontId="66" fillId="10" borderId="19" xfId="0" applyNumberFormat="1" applyFont="1" applyFill="1" applyBorder="1" applyAlignment="1">
      <alignment horizontal="center" vertical="center"/>
    </xf>
    <xf numFmtId="173" fontId="66" fillId="0" borderId="17" xfId="0" applyNumberFormat="1" applyFont="1" applyBorder="1" applyAlignment="1">
      <alignment horizontal="center" vertical="center"/>
    </xf>
    <xf numFmtId="173" fontId="70" fillId="38" borderId="0" xfId="0" applyNumberFormat="1" applyFont="1" applyFill="1" applyBorder="1" applyAlignment="1">
      <alignment horizontal="center" vertical="center" wrapText="1"/>
    </xf>
    <xf numFmtId="173" fontId="0" fillId="0" borderId="26" xfId="0" applyNumberFormat="1" applyFont="1" applyBorder="1" applyAlignment="1">
      <alignment horizontal="center" vertical="center"/>
    </xf>
    <xf numFmtId="173" fontId="0" fillId="0" borderId="0" xfId="0" applyNumberFormat="1" applyFont="1" applyBorder="1" applyAlignment="1">
      <alignment horizontal="center" vertical="center"/>
    </xf>
    <xf numFmtId="173" fontId="15" fillId="0" borderId="23" xfId="0" applyNumberFormat="1" applyFont="1" applyFill="1" applyBorder="1" applyAlignment="1">
      <alignment horizontal="center" vertical="center"/>
    </xf>
    <xf numFmtId="173" fontId="15" fillId="0" borderId="25" xfId="0" applyNumberFormat="1" applyFont="1" applyFill="1" applyBorder="1" applyAlignment="1">
      <alignment horizontal="center" vertical="center"/>
    </xf>
    <xf numFmtId="2" fontId="15" fillId="0" borderId="23" xfId="0" applyNumberFormat="1" applyFont="1" applyBorder="1" applyAlignment="1">
      <alignment horizontal="center" vertical="center"/>
    </xf>
    <xf numFmtId="172" fontId="15" fillId="0" borderId="23" xfId="0" applyNumberFormat="1" applyFont="1" applyFill="1" applyBorder="1" applyAlignment="1">
      <alignment horizontal="center" vertical="center"/>
    </xf>
    <xf numFmtId="173" fontId="15" fillId="34" borderId="23" xfId="0" applyNumberFormat="1" applyFont="1" applyFill="1" applyBorder="1" applyAlignment="1">
      <alignment horizontal="center" vertical="center"/>
    </xf>
    <xf numFmtId="173" fontId="15" fillId="0" borderId="23" xfId="0" applyNumberFormat="1" applyFont="1" applyBorder="1" applyAlignment="1">
      <alignment horizontal="center" vertical="center"/>
    </xf>
    <xf numFmtId="173" fontId="15" fillId="34" borderId="27" xfId="0" applyNumberFormat="1" applyFont="1" applyFill="1" applyBorder="1" applyAlignment="1">
      <alignment horizontal="center" vertical="center"/>
    </xf>
    <xf numFmtId="173" fontId="15" fillId="0" borderId="27" xfId="0" applyNumberFormat="1" applyFont="1" applyFill="1" applyBorder="1" applyAlignment="1">
      <alignment horizontal="center" vertical="center"/>
    </xf>
    <xf numFmtId="173" fontId="15" fillId="35" borderId="23" xfId="0" applyNumberFormat="1" applyFont="1" applyFill="1" applyBorder="1" applyAlignment="1">
      <alignment horizontal="center" vertical="center"/>
    </xf>
    <xf numFmtId="173" fontId="15" fillId="0" borderId="26" xfId="0" applyNumberFormat="1" applyFont="1" applyFill="1" applyBorder="1" applyAlignment="1">
      <alignment horizontal="center" vertical="center"/>
    </xf>
    <xf numFmtId="172" fontId="15" fillId="0" borderId="0" xfId="0" applyNumberFormat="1" applyFont="1" applyFill="1" applyBorder="1" applyAlignment="1">
      <alignment horizontal="center" vertical="center"/>
    </xf>
    <xf numFmtId="173" fontId="15" fillId="33" borderId="25" xfId="0" applyNumberFormat="1" applyFont="1" applyFill="1" applyBorder="1" applyAlignment="1">
      <alignment horizontal="center" vertical="center"/>
    </xf>
    <xf numFmtId="172" fontId="15" fillId="33" borderId="23" xfId="0" applyNumberFormat="1" applyFont="1" applyFill="1" applyBorder="1" applyAlignment="1">
      <alignment horizontal="center" vertical="center"/>
    </xf>
    <xf numFmtId="174" fontId="15" fillId="34" borderId="23" xfId="0" applyNumberFormat="1" applyFont="1" applyFill="1" applyBorder="1" applyAlignment="1">
      <alignment horizontal="center" vertical="center"/>
    </xf>
    <xf numFmtId="173" fontId="15" fillId="39" borderId="23" xfId="0" applyNumberFormat="1" applyFont="1" applyFill="1" applyBorder="1" applyAlignment="1">
      <alignment horizontal="center" vertical="center"/>
    </xf>
    <xf numFmtId="1" fontId="15" fillId="34" borderId="23" xfId="0" applyNumberFormat="1" applyFont="1" applyFill="1" applyBorder="1" applyAlignment="1">
      <alignment horizontal="center" vertical="center"/>
    </xf>
    <xf numFmtId="173" fontId="15" fillId="36" borderId="23" xfId="0" applyNumberFormat="1" applyFont="1" applyFill="1" applyBorder="1" applyAlignment="1">
      <alignment horizontal="center" vertical="center"/>
    </xf>
    <xf numFmtId="10" fontId="15" fillId="33" borderId="23" xfId="0" applyNumberFormat="1" applyFont="1" applyFill="1" applyBorder="1" applyAlignment="1">
      <alignment horizontal="center" vertical="center"/>
    </xf>
    <xf numFmtId="172" fontId="66" fillId="0" borderId="25" xfId="0" applyNumberFormat="1" applyFont="1" applyBorder="1" applyAlignment="1">
      <alignment horizontal="center" vertical="center"/>
    </xf>
    <xf numFmtId="174" fontId="66" fillId="0" borderId="25" xfId="0" applyNumberFormat="1" applyFont="1" applyBorder="1" applyAlignment="1">
      <alignment horizontal="center" vertical="center"/>
    </xf>
    <xf numFmtId="173" fontId="15" fillId="35" borderId="25" xfId="0" applyNumberFormat="1" applyFont="1" applyFill="1" applyBorder="1" applyAlignment="1">
      <alignment horizontal="center" vertical="center"/>
    </xf>
    <xf numFmtId="172" fontId="15" fillId="34" borderId="23" xfId="0" applyNumberFormat="1" applyFont="1" applyFill="1" applyBorder="1" applyAlignment="1">
      <alignment horizontal="center" vertical="center"/>
    </xf>
    <xf numFmtId="172" fontId="66" fillId="0" borderId="23" xfId="0" applyNumberFormat="1" applyFont="1" applyBorder="1" applyAlignment="1">
      <alignment horizontal="center" vertical="center" wrapText="1"/>
    </xf>
    <xf numFmtId="172" fontId="15" fillId="33" borderId="27" xfId="0" applyNumberFormat="1" applyFont="1" applyFill="1" applyBorder="1" applyAlignment="1">
      <alignment horizontal="center" vertical="center"/>
    </xf>
    <xf numFmtId="2" fontId="15" fillId="0" borderId="33" xfId="0" applyNumberFormat="1" applyFont="1" applyBorder="1" applyAlignment="1">
      <alignment horizontal="center" vertical="center"/>
    </xf>
    <xf numFmtId="173" fontId="15" fillId="0" borderId="33" xfId="0" applyNumberFormat="1" applyFont="1" applyFill="1" applyBorder="1" applyAlignment="1">
      <alignment horizontal="center" vertical="center"/>
    </xf>
    <xf numFmtId="172" fontId="17" fillId="35" borderId="66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172" fontId="17" fillId="35" borderId="10" xfId="0" applyNumberFormat="1" applyFont="1" applyFill="1" applyBorder="1" applyAlignment="1">
      <alignment horizontal="center" vertical="center"/>
    </xf>
    <xf numFmtId="172" fontId="0" fillId="0" borderId="29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172" fontId="0" fillId="34" borderId="29" xfId="0" applyNumberFormat="1" applyFont="1" applyFill="1" applyBorder="1" applyAlignment="1">
      <alignment horizontal="center" vertical="center"/>
    </xf>
    <xf numFmtId="172" fontId="17" fillId="35" borderId="29" xfId="0" applyNumberFormat="1" applyFont="1" applyFill="1" applyBorder="1" applyAlignment="1">
      <alignment horizontal="center" vertical="center"/>
    </xf>
    <xf numFmtId="172" fontId="0" fillId="33" borderId="34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3" fillId="36" borderId="10" xfId="0" applyNumberFormat="1" applyFont="1" applyFill="1" applyBorder="1" applyAlignment="1">
      <alignment horizontal="center" vertical="center"/>
    </xf>
    <xf numFmtId="173" fontId="70" fillId="38" borderId="67" xfId="0" applyNumberFormat="1" applyFont="1" applyFill="1" applyBorder="1" applyAlignment="1">
      <alignment horizontal="center" vertical="center" wrapText="1"/>
    </xf>
    <xf numFmtId="173" fontId="0" fillId="0" borderId="61" xfId="0" applyNumberFormat="1" applyFont="1" applyBorder="1" applyAlignment="1">
      <alignment horizontal="center" vertical="center"/>
    </xf>
    <xf numFmtId="1" fontId="8" fillId="0" borderId="58" xfId="0" applyNumberFormat="1" applyFont="1" applyBorder="1" applyAlignment="1">
      <alignment horizontal="center" vertical="center" wrapText="1"/>
    </xf>
    <xf numFmtId="173" fontId="15" fillId="35" borderId="68" xfId="0" applyNumberFormat="1" applyFont="1" applyFill="1" applyBorder="1" applyAlignment="1">
      <alignment horizontal="center" vertical="center"/>
    </xf>
    <xf numFmtId="173" fontId="15" fillId="0" borderId="56" xfId="0" applyNumberFormat="1" applyFont="1" applyFill="1" applyBorder="1" applyAlignment="1">
      <alignment horizontal="center" vertical="center"/>
    </xf>
    <xf numFmtId="172" fontId="15" fillId="0" borderId="33" xfId="0" applyNumberFormat="1" applyFont="1" applyFill="1" applyBorder="1" applyAlignment="1">
      <alignment horizontal="center" vertical="center"/>
    </xf>
    <xf numFmtId="173" fontId="15" fillId="0" borderId="33" xfId="0" applyNumberFormat="1" applyFont="1" applyBorder="1" applyAlignment="1">
      <alignment horizontal="center" vertical="center"/>
    </xf>
    <xf numFmtId="172" fontId="15" fillId="34" borderId="60" xfId="0" applyNumberFormat="1" applyFont="1" applyFill="1" applyBorder="1" applyAlignment="1">
      <alignment horizontal="center" vertical="center"/>
    </xf>
    <xf numFmtId="173" fontId="15" fillId="0" borderId="60" xfId="0" applyNumberFormat="1" applyFont="1" applyFill="1" applyBorder="1" applyAlignment="1">
      <alignment horizontal="center" vertical="center"/>
    </xf>
    <xf numFmtId="173" fontId="15" fillId="0" borderId="61" xfId="0" applyNumberFormat="1" applyFont="1" applyFill="1" applyBorder="1" applyAlignment="1">
      <alignment horizontal="center" vertical="center"/>
    </xf>
    <xf numFmtId="173" fontId="15" fillId="34" borderId="60" xfId="0" applyNumberFormat="1" applyFont="1" applyFill="1" applyBorder="1" applyAlignment="1">
      <alignment horizontal="center" vertical="center"/>
    </xf>
    <xf numFmtId="172" fontId="15" fillId="0" borderId="58" xfId="0" applyNumberFormat="1" applyFont="1" applyFill="1" applyBorder="1" applyAlignment="1">
      <alignment horizontal="center" vertical="center"/>
    </xf>
    <xf numFmtId="173" fontId="15" fillId="33" borderId="56" xfId="0" applyNumberFormat="1" applyFont="1" applyFill="1" applyBorder="1" applyAlignment="1">
      <alignment horizontal="center" vertical="center"/>
    </xf>
    <xf numFmtId="172" fontId="15" fillId="33" borderId="33" xfId="0" applyNumberFormat="1" applyFont="1" applyFill="1" applyBorder="1" applyAlignment="1">
      <alignment horizontal="center" vertical="center"/>
    </xf>
    <xf numFmtId="174" fontId="15" fillId="34" borderId="33" xfId="0" applyNumberFormat="1" applyFont="1" applyFill="1" applyBorder="1" applyAlignment="1">
      <alignment horizontal="center" vertical="center"/>
    </xf>
    <xf numFmtId="173" fontId="15" fillId="39" borderId="33" xfId="0" applyNumberFormat="1" applyFont="1" applyFill="1" applyBorder="1" applyAlignment="1">
      <alignment horizontal="center" vertical="center"/>
    </xf>
    <xf numFmtId="1" fontId="15" fillId="34" borderId="33" xfId="0" applyNumberFormat="1" applyFont="1" applyFill="1" applyBorder="1" applyAlignment="1">
      <alignment horizontal="center" vertical="center"/>
    </xf>
    <xf numFmtId="173" fontId="15" fillId="36" borderId="33" xfId="0" applyNumberFormat="1" applyFont="1" applyFill="1" applyBorder="1" applyAlignment="1">
      <alignment horizontal="center" vertical="center"/>
    </xf>
    <xf numFmtId="10" fontId="15" fillId="33" borderId="33" xfId="0" applyNumberFormat="1" applyFont="1" applyFill="1" applyBorder="1" applyAlignment="1">
      <alignment horizontal="center" vertical="center"/>
    </xf>
    <xf numFmtId="173" fontId="15" fillId="33" borderId="61" xfId="0" applyNumberFormat="1" applyFont="1" applyFill="1" applyBorder="1" applyAlignment="1">
      <alignment horizontal="center" vertical="center"/>
    </xf>
    <xf numFmtId="172" fontId="66" fillId="0" borderId="56" xfId="0" applyNumberFormat="1" applyFont="1" applyBorder="1" applyAlignment="1">
      <alignment horizontal="center" vertical="center"/>
    </xf>
    <xf numFmtId="174" fontId="66" fillId="0" borderId="56" xfId="0" applyNumberFormat="1" applyFont="1" applyBorder="1" applyAlignment="1">
      <alignment horizontal="center" vertical="center"/>
    </xf>
    <xf numFmtId="173" fontId="15" fillId="35" borderId="56" xfId="0" applyNumberFormat="1" applyFont="1" applyFill="1" applyBorder="1" applyAlignment="1">
      <alignment horizontal="center" vertical="center"/>
    </xf>
    <xf numFmtId="172" fontId="15" fillId="34" borderId="33" xfId="0" applyNumberFormat="1" applyFont="1" applyFill="1" applyBorder="1" applyAlignment="1">
      <alignment horizontal="center" vertical="center"/>
    </xf>
    <xf numFmtId="172" fontId="66" fillId="0" borderId="33" xfId="0" applyNumberFormat="1" applyFont="1" applyBorder="1" applyAlignment="1">
      <alignment horizontal="center" vertical="center" wrapText="1"/>
    </xf>
    <xf numFmtId="173" fontId="17" fillId="35" borderId="11" xfId="0" applyNumberFormat="1" applyFont="1" applyFill="1" applyBorder="1" applyAlignment="1">
      <alignment vertical="center"/>
    </xf>
    <xf numFmtId="1" fontId="3" fillId="35" borderId="68" xfId="0" applyNumberFormat="1" applyFont="1" applyFill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right" vertical="center"/>
    </xf>
    <xf numFmtId="173" fontId="14" fillId="0" borderId="33" xfId="0" applyNumberFormat="1" applyFont="1" applyFill="1" applyBorder="1" applyAlignment="1">
      <alignment horizontal="left" vertical="center"/>
    </xf>
    <xf numFmtId="49" fontId="71" fillId="0" borderId="12" xfId="0" applyNumberFormat="1" applyFont="1" applyFill="1" applyBorder="1" applyAlignment="1">
      <alignment horizontal="right" vertical="center"/>
    </xf>
    <xf numFmtId="173" fontId="14" fillId="0" borderId="58" xfId="0" applyNumberFormat="1" applyFont="1" applyFill="1" applyBorder="1" applyAlignment="1">
      <alignment horizontal="left" vertical="center"/>
    </xf>
    <xf numFmtId="49" fontId="72" fillId="0" borderId="29" xfId="0" applyNumberFormat="1" applyFont="1" applyBorder="1" applyAlignment="1">
      <alignment horizontal="right" vertical="center"/>
    </xf>
    <xf numFmtId="173" fontId="0" fillId="0" borderId="60" xfId="0" applyNumberFormat="1" applyFont="1" applyBorder="1" applyAlignment="1">
      <alignment horizontal="left" vertical="center"/>
    </xf>
    <xf numFmtId="173" fontId="72" fillId="0" borderId="10" xfId="0" applyNumberFormat="1" applyFont="1" applyFill="1" applyBorder="1" applyAlignment="1">
      <alignment/>
    </xf>
    <xf numFmtId="173" fontId="0" fillId="0" borderId="33" xfId="0" applyNumberFormat="1" applyFont="1" applyBorder="1" applyAlignment="1">
      <alignment horizontal="left" vertical="center"/>
    </xf>
    <xf numFmtId="173" fontId="72" fillId="0" borderId="51" xfId="0" applyNumberFormat="1" applyFont="1" applyFill="1" applyBorder="1" applyAlignment="1">
      <alignment/>
    </xf>
    <xf numFmtId="173" fontId="0" fillId="0" borderId="58" xfId="0" applyNumberFormat="1" applyFont="1" applyBorder="1" applyAlignment="1">
      <alignment horizontal="left" vertical="center"/>
    </xf>
    <xf numFmtId="173" fontId="0" fillId="0" borderId="33" xfId="0" applyNumberFormat="1" applyFont="1" applyBorder="1" applyAlignment="1">
      <alignment vertical="center" wrapText="1"/>
    </xf>
    <xf numFmtId="49" fontId="71" fillId="34" borderId="34" xfId="0" applyNumberFormat="1" applyFont="1" applyFill="1" applyBorder="1" applyAlignment="1">
      <alignment horizontal="right" vertical="center"/>
    </xf>
    <xf numFmtId="49" fontId="14" fillId="34" borderId="56" xfId="0" applyNumberFormat="1" applyFont="1" applyFill="1" applyBorder="1" applyAlignment="1">
      <alignment horizontal="left" vertical="center"/>
    </xf>
    <xf numFmtId="173" fontId="0" fillId="0" borderId="33" xfId="0" applyNumberFormat="1" applyFont="1" applyBorder="1" applyAlignment="1">
      <alignment horizontal="left" vertical="center"/>
    </xf>
    <xf numFmtId="173" fontId="0" fillId="0" borderId="33" xfId="0" applyNumberFormat="1" applyFont="1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right" vertical="center"/>
    </xf>
    <xf numFmtId="173" fontId="0" fillId="34" borderId="33" xfId="0" applyNumberFormat="1" applyFont="1" applyFill="1" applyBorder="1" applyAlignment="1">
      <alignment horizontal="left" vertical="center"/>
    </xf>
    <xf numFmtId="173" fontId="0" fillId="0" borderId="33" xfId="0" applyNumberFormat="1" applyFont="1" applyFill="1" applyBorder="1" applyAlignment="1">
      <alignment horizontal="left" vertical="center"/>
    </xf>
    <xf numFmtId="173" fontId="0" fillId="0" borderId="33" xfId="0" applyNumberFormat="1" applyFont="1" applyBorder="1" applyAlignment="1">
      <alignment vertical="center"/>
    </xf>
    <xf numFmtId="49" fontId="16" fillId="34" borderId="10" xfId="0" applyNumberFormat="1" applyFont="1" applyFill="1" applyBorder="1" applyAlignment="1">
      <alignment horizontal="right" vertical="center"/>
    </xf>
    <xf numFmtId="49" fontId="16" fillId="0" borderId="29" xfId="0" applyNumberFormat="1" applyFont="1" applyBorder="1" applyAlignment="1">
      <alignment horizontal="right" vertical="center"/>
    </xf>
    <xf numFmtId="173" fontId="0" fillId="0" borderId="60" xfId="0" applyNumberFormat="1" applyFont="1" applyBorder="1" applyAlignment="1">
      <alignment horizontal="left" vertical="center"/>
    </xf>
    <xf numFmtId="49" fontId="16" fillId="0" borderId="12" xfId="0" applyNumberFormat="1" applyFont="1" applyBorder="1" applyAlignment="1">
      <alignment horizontal="right" vertical="center"/>
    </xf>
    <xf numFmtId="173" fontId="0" fillId="0" borderId="58" xfId="0" applyNumberFormat="1" applyFont="1" applyBorder="1" applyAlignment="1">
      <alignment horizontal="left" vertical="center"/>
    </xf>
    <xf numFmtId="49" fontId="16" fillId="34" borderId="29" xfId="0" applyNumberFormat="1" applyFont="1" applyFill="1" applyBorder="1" applyAlignment="1">
      <alignment horizontal="right" vertical="center"/>
    </xf>
    <xf numFmtId="173" fontId="17" fillId="35" borderId="29" xfId="0" applyNumberFormat="1" applyFont="1" applyFill="1" applyBorder="1" applyAlignment="1">
      <alignment vertical="center"/>
    </xf>
    <xf numFmtId="1" fontId="3" fillId="35" borderId="60" xfId="0" applyNumberFormat="1" applyFont="1" applyFill="1" applyBorder="1" applyAlignment="1">
      <alignment vertical="center"/>
    </xf>
    <xf numFmtId="173" fontId="0" fillId="33" borderId="33" xfId="0" applyNumberFormat="1" applyFont="1" applyFill="1" applyBorder="1" applyAlignment="1">
      <alignment horizontal="left" vertical="center"/>
    </xf>
    <xf numFmtId="49" fontId="16" fillId="33" borderId="34" xfId="0" applyNumberFormat="1" applyFont="1" applyFill="1" applyBorder="1" applyAlignment="1">
      <alignment horizontal="right" vertical="center"/>
    </xf>
    <xf numFmtId="173" fontId="0" fillId="33" borderId="56" xfId="0" applyNumberFormat="1" applyFont="1" applyFill="1" applyBorder="1" applyAlignment="1">
      <alignment horizontal="left" vertical="center"/>
    </xf>
    <xf numFmtId="173" fontId="2" fillId="33" borderId="60" xfId="0" applyNumberFormat="1" applyFont="1" applyFill="1" applyBorder="1" applyAlignment="1">
      <alignment horizontal="left" vertical="center"/>
    </xf>
    <xf numFmtId="49" fontId="16" fillId="33" borderId="12" xfId="0" applyNumberFormat="1" applyFont="1" applyFill="1" applyBorder="1" applyAlignment="1">
      <alignment horizontal="right" vertical="center"/>
    </xf>
    <xf numFmtId="173" fontId="2" fillId="33" borderId="58" xfId="0" applyNumberFormat="1" applyFont="1" applyFill="1" applyBorder="1" applyAlignment="1">
      <alignment horizontal="left" vertical="center"/>
    </xf>
    <xf numFmtId="173" fontId="17" fillId="35" borderId="10" xfId="0" applyNumberFormat="1" applyFont="1" applyFill="1" applyBorder="1" applyAlignment="1">
      <alignment vertical="center"/>
    </xf>
    <xf numFmtId="173" fontId="3" fillId="35" borderId="33" xfId="0" applyNumberFormat="1" applyFont="1" applyFill="1" applyBorder="1" applyAlignment="1">
      <alignment vertical="center"/>
    </xf>
    <xf numFmtId="173" fontId="0" fillId="0" borderId="33" xfId="0" applyNumberFormat="1" applyFont="1" applyFill="1" applyBorder="1" applyAlignment="1">
      <alignment horizontal="left" vertical="center"/>
    </xf>
    <xf numFmtId="49" fontId="16" fillId="0" borderId="34" xfId="0" applyNumberFormat="1" applyFont="1" applyFill="1" applyBorder="1" applyAlignment="1">
      <alignment horizontal="right" vertical="center"/>
    </xf>
    <xf numFmtId="173" fontId="2" fillId="33" borderId="56" xfId="0" applyNumberFormat="1" applyFont="1" applyFill="1" applyBorder="1" applyAlignment="1">
      <alignment horizontal="left" vertical="center"/>
    </xf>
    <xf numFmtId="49" fontId="16" fillId="0" borderId="29" xfId="0" applyNumberFormat="1" applyFont="1" applyFill="1" applyBorder="1" applyAlignment="1">
      <alignment horizontal="right" vertical="center"/>
    </xf>
    <xf numFmtId="173" fontId="2" fillId="33" borderId="60" xfId="0" applyNumberFormat="1" applyFont="1" applyFill="1" applyBorder="1" applyAlignment="1">
      <alignment horizontal="left" vertical="center"/>
    </xf>
    <xf numFmtId="49" fontId="16" fillId="0" borderId="29" xfId="0" applyNumberFormat="1" applyFont="1" applyFill="1" applyBorder="1" applyAlignment="1">
      <alignment horizontal="right" vertical="center" wrapText="1"/>
    </xf>
    <xf numFmtId="173" fontId="0" fillId="0" borderId="60" xfId="0" applyNumberFormat="1" applyFont="1" applyFill="1" applyBorder="1" applyAlignment="1">
      <alignment horizontal="left" vertical="center" wrapText="1"/>
    </xf>
    <xf numFmtId="49" fontId="0" fillId="0" borderId="29" xfId="0" applyNumberFormat="1" applyFont="1" applyBorder="1" applyAlignment="1">
      <alignment horizontal="right" vertical="center"/>
    </xf>
    <xf numFmtId="173" fontId="0" fillId="33" borderId="6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right" vertical="center" wrapText="1"/>
    </xf>
    <xf numFmtId="49" fontId="0" fillId="33" borderId="34" xfId="0" applyNumberFormat="1" applyFont="1" applyFill="1" applyBorder="1" applyAlignment="1">
      <alignment horizontal="right" vertical="center" wrapText="1"/>
    </xf>
    <xf numFmtId="173" fontId="0" fillId="33" borderId="56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right" vertical="center" wrapText="1"/>
    </xf>
    <xf numFmtId="49" fontId="0" fillId="33" borderId="29" xfId="0" applyNumberFormat="1" applyFont="1" applyFill="1" applyBorder="1" applyAlignment="1">
      <alignment horizontal="right" vertical="center" wrapText="1"/>
    </xf>
    <xf numFmtId="173" fontId="6" fillId="0" borderId="33" xfId="0" applyNumberFormat="1" applyFont="1" applyFill="1" applyBorder="1" applyAlignment="1">
      <alignment horizontal="left" vertical="center" wrapText="1"/>
    </xf>
    <xf numFmtId="173" fontId="0" fillId="0" borderId="34" xfId="0" applyNumberFormat="1" applyFont="1" applyFill="1" applyBorder="1" applyAlignment="1">
      <alignment horizontal="center" vertical="center" wrapText="1"/>
    </xf>
    <xf numFmtId="1" fontId="0" fillId="0" borderId="56" xfId="0" applyNumberFormat="1" applyFont="1" applyFill="1" applyBorder="1" applyAlignment="1">
      <alignment horizontal="center" vertical="center"/>
    </xf>
    <xf numFmtId="173" fontId="0" fillId="0" borderId="12" xfId="0" applyNumberFormat="1" applyFont="1" applyFill="1" applyBorder="1" applyAlignment="1">
      <alignment horizontal="center" vertical="center" wrapText="1"/>
    </xf>
    <xf numFmtId="1" fontId="0" fillId="0" borderId="58" xfId="0" applyNumberFormat="1" applyFont="1" applyFill="1" applyBorder="1" applyAlignment="1">
      <alignment horizontal="center" vertical="center"/>
    </xf>
    <xf numFmtId="173" fontId="3" fillId="36" borderId="12" xfId="0" applyNumberFormat="1" applyFont="1" applyFill="1" applyBorder="1" applyAlignment="1">
      <alignment horizontal="center" vertical="center"/>
    </xf>
    <xf numFmtId="0" fontId="3" fillId="36" borderId="58" xfId="0" applyFont="1" applyFill="1" applyBorder="1" applyAlignment="1">
      <alignment horizontal="center" vertical="center"/>
    </xf>
    <xf numFmtId="173" fontId="3" fillId="36" borderId="10" xfId="0" applyNumberFormat="1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right" vertical="center"/>
    </xf>
    <xf numFmtId="173" fontId="0" fillId="33" borderId="60" xfId="0" applyNumberFormat="1" applyFont="1" applyFill="1" applyBorder="1" applyAlignment="1">
      <alignment horizontal="center" vertical="center"/>
    </xf>
    <xf numFmtId="172" fontId="0" fillId="0" borderId="56" xfId="0" applyNumberFormat="1" applyFont="1" applyBorder="1" applyAlignment="1">
      <alignment horizontal="left" vertical="center" wrapText="1"/>
    </xf>
    <xf numFmtId="173" fontId="0" fillId="0" borderId="56" xfId="0" applyNumberFormat="1" applyFont="1" applyBorder="1" applyAlignment="1">
      <alignment horizontal="left" vertical="center"/>
    </xf>
    <xf numFmtId="49" fontId="0" fillId="33" borderId="34" xfId="0" applyNumberFormat="1" applyFont="1" applyFill="1" applyBorder="1" applyAlignment="1">
      <alignment horizontal="right" vertical="center"/>
    </xf>
    <xf numFmtId="173" fontId="0" fillId="34" borderId="33" xfId="0" applyNumberFormat="1" applyFont="1" applyFill="1" applyBorder="1" applyAlignment="1">
      <alignment horizontal="left" vertical="center"/>
    </xf>
    <xf numFmtId="49" fontId="3" fillId="35" borderId="33" xfId="0" applyNumberFormat="1" applyFont="1" applyFill="1" applyBorder="1" applyAlignment="1">
      <alignment vertical="center"/>
    </xf>
    <xf numFmtId="172" fontId="0" fillId="0" borderId="33" xfId="0" applyNumberFormat="1" applyFont="1" applyBorder="1" applyAlignment="1">
      <alignment vertical="center" wrapText="1"/>
    </xf>
    <xf numFmtId="49" fontId="17" fillId="35" borderId="33" xfId="0" applyNumberFormat="1" applyFont="1" applyFill="1" applyBorder="1" applyAlignment="1">
      <alignment horizontal="left" vertical="center"/>
    </xf>
    <xf numFmtId="49" fontId="0" fillId="33" borderId="33" xfId="0" applyNumberFormat="1" applyFont="1" applyFill="1" applyBorder="1" applyAlignment="1">
      <alignment horizontal="left" vertical="center"/>
    </xf>
    <xf numFmtId="49" fontId="0" fillId="33" borderId="60" xfId="0" applyNumberFormat="1" applyFont="1" applyFill="1" applyBorder="1" applyAlignment="1">
      <alignment horizontal="left" vertical="center"/>
    </xf>
    <xf numFmtId="49" fontId="16" fillId="0" borderId="34" xfId="0" applyNumberFormat="1" applyFont="1" applyBorder="1" applyAlignment="1">
      <alignment horizontal="right" vertical="center"/>
    </xf>
    <xf numFmtId="173" fontId="0" fillId="0" borderId="56" xfId="0" applyNumberFormat="1" applyFont="1" applyBorder="1" applyAlignment="1">
      <alignment horizontal="left" vertical="center"/>
    </xf>
    <xf numFmtId="173" fontId="66" fillId="0" borderId="30" xfId="0" applyNumberFormat="1" applyFont="1" applyBorder="1" applyAlignment="1">
      <alignment horizontal="center" vertical="center"/>
    </xf>
    <xf numFmtId="49" fontId="16" fillId="34" borderId="34" xfId="0" applyNumberFormat="1" applyFont="1" applyFill="1" applyBorder="1" applyAlignment="1">
      <alignment horizontal="right" vertical="center"/>
    </xf>
    <xf numFmtId="49" fontId="0" fillId="34" borderId="25" xfId="0" applyNumberFormat="1" applyFont="1" applyFill="1" applyBorder="1" applyAlignment="1">
      <alignment horizontal="right" vertical="center"/>
    </xf>
    <xf numFmtId="173" fontId="68" fillId="34" borderId="25" xfId="0" applyNumberFormat="1" applyFont="1" applyFill="1" applyBorder="1" applyAlignment="1">
      <alignment horizontal="center" vertical="center" wrapText="1"/>
    </xf>
    <xf numFmtId="174" fontId="15" fillId="0" borderId="56" xfId="0" applyNumberFormat="1" applyFont="1" applyFill="1" applyBorder="1" applyAlignment="1">
      <alignment horizontal="center" vertical="center"/>
    </xf>
    <xf numFmtId="172" fontId="15" fillId="0" borderId="25" xfId="0" applyNumberFormat="1" applyFont="1" applyFill="1" applyBorder="1" applyAlignment="1">
      <alignment horizontal="center" vertical="center"/>
    </xf>
    <xf numFmtId="172" fontId="18" fillId="0" borderId="56" xfId="0" applyNumberFormat="1" applyFont="1" applyFill="1" applyBorder="1" applyAlignment="1">
      <alignment horizontal="center" vertical="center"/>
    </xf>
    <xf numFmtId="193" fontId="66" fillId="34" borderId="37" xfId="0" applyNumberFormat="1" applyFont="1" applyFill="1" applyBorder="1" applyAlignment="1">
      <alignment horizontal="center" vertical="center"/>
    </xf>
    <xf numFmtId="2" fontId="66" fillId="34" borderId="13" xfId="0" applyNumberFormat="1" applyFont="1" applyFill="1" applyBorder="1" applyAlignment="1">
      <alignment horizontal="center" vertical="center"/>
    </xf>
    <xf numFmtId="2" fontId="66" fillId="34" borderId="10" xfId="0" applyNumberFormat="1" applyFont="1" applyFill="1" applyBorder="1" applyAlignment="1">
      <alignment horizontal="center" vertical="center"/>
    </xf>
    <xf numFmtId="190" fontId="66" fillId="34" borderId="22" xfId="0" applyNumberFormat="1" applyFont="1" applyFill="1" applyBorder="1" applyAlignment="1">
      <alignment horizontal="center" vertical="center"/>
    </xf>
    <xf numFmtId="2" fontId="66" fillId="34" borderId="19" xfId="0" applyNumberFormat="1" applyFont="1" applyFill="1" applyBorder="1" applyAlignment="1">
      <alignment horizontal="center" vertical="center"/>
    </xf>
    <xf numFmtId="190" fontId="66" fillId="34" borderId="21" xfId="0" applyNumberFormat="1" applyFont="1" applyFill="1" applyBorder="1" applyAlignment="1">
      <alignment horizontal="center" vertical="center"/>
    </xf>
    <xf numFmtId="0" fontId="17" fillId="0" borderId="49" xfId="0" applyFont="1" applyBorder="1" applyAlignment="1">
      <alignment horizontal="center"/>
    </xf>
    <xf numFmtId="2" fontId="66" fillId="34" borderId="46" xfId="0" applyNumberFormat="1" applyFont="1" applyFill="1" applyBorder="1" applyAlignment="1">
      <alignment horizontal="center" vertical="center"/>
    </xf>
    <xf numFmtId="1" fontId="66" fillId="34" borderId="46" xfId="0" applyNumberFormat="1" applyFont="1" applyFill="1" applyBorder="1" applyAlignment="1">
      <alignment horizontal="center" vertical="center"/>
    </xf>
    <xf numFmtId="172" fontId="66" fillId="34" borderId="46" xfId="0" applyNumberFormat="1" applyFont="1" applyFill="1" applyBorder="1" applyAlignment="1">
      <alignment horizontal="center" vertical="center"/>
    </xf>
    <xf numFmtId="2" fontId="0" fillId="0" borderId="47" xfId="0" applyNumberFormat="1" applyFont="1" applyBorder="1" applyAlignment="1">
      <alignment horizontal="center" vertical="center" wrapText="1"/>
    </xf>
    <xf numFmtId="0" fontId="0" fillId="0" borderId="58" xfId="0" applyFont="1" applyBorder="1" applyAlignment="1">
      <alignment/>
    </xf>
    <xf numFmtId="173" fontId="15" fillId="34" borderId="10" xfId="0" applyNumberFormat="1" applyFont="1" applyFill="1" applyBorder="1" applyAlignment="1">
      <alignment horizontal="center" vertical="center"/>
    </xf>
    <xf numFmtId="173" fontId="18" fillId="0" borderId="30" xfId="0" applyNumberFormat="1" applyFont="1" applyFill="1" applyBorder="1" applyAlignment="1">
      <alignment horizontal="center" vertical="center"/>
    </xf>
    <xf numFmtId="172" fontId="18" fillId="33" borderId="30" xfId="0" applyNumberFormat="1" applyFont="1" applyFill="1" applyBorder="1" applyAlignment="1">
      <alignment horizontal="center" vertical="center"/>
    </xf>
    <xf numFmtId="178" fontId="15" fillId="35" borderId="22" xfId="0" applyNumberFormat="1" applyFont="1" applyFill="1" applyBorder="1" applyAlignment="1">
      <alignment horizontal="center" vertical="center"/>
    </xf>
    <xf numFmtId="172" fontId="0" fillId="0" borderId="0" xfId="0" applyNumberFormat="1" applyFont="1" applyAlignment="1">
      <alignment/>
    </xf>
    <xf numFmtId="173" fontId="67" fillId="10" borderId="23" xfId="0" applyNumberFormat="1" applyFont="1" applyFill="1" applyBorder="1" applyAlignment="1">
      <alignment horizontal="center" vertical="center"/>
    </xf>
    <xf numFmtId="173" fontId="67" fillId="10" borderId="10" xfId="0" applyNumberFormat="1" applyFont="1" applyFill="1" applyBorder="1" applyAlignment="1">
      <alignment horizontal="center" vertical="center"/>
    </xf>
    <xf numFmtId="173" fontId="67" fillId="10" borderId="19" xfId="0" applyNumberFormat="1" applyFont="1" applyFill="1" applyBorder="1" applyAlignment="1">
      <alignment horizontal="center" vertical="center"/>
    </xf>
    <xf numFmtId="173" fontId="15" fillId="35" borderId="10" xfId="0" applyNumberFormat="1" applyFont="1" applyFill="1" applyBorder="1" applyAlignment="1">
      <alignment horizontal="center" vertical="center"/>
    </xf>
    <xf numFmtId="173" fontId="15" fillId="34" borderId="19" xfId="0" applyNumberFormat="1" applyFont="1" applyFill="1" applyBorder="1" applyAlignment="1">
      <alignment horizontal="center" vertical="center"/>
    </xf>
    <xf numFmtId="173" fontId="15" fillId="35" borderId="19" xfId="0" applyNumberFormat="1" applyFont="1" applyFill="1" applyBorder="1" applyAlignment="1">
      <alignment horizontal="center" vertical="center"/>
    </xf>
    <xf numFmtId="1" fontId="8" fillId="0" borderId="51" xfId="0" applyNumberFormat="1" applyFont="1" applyBorder="1" applyAlignment="1">
      <alignment horizontal="center" vertical="center" wrapText="1"/>
    </xf>
    <xf numFmtId="172" fontId="63" fillId="0" borderId="24" xfId="0" applyNumberFormat="1" applyFont="1" applyBorder="1" applyAlignment="1">
      <alignment horizontal="center" vertical="center" wrapText="1"/>
    </xf>
    <xf numFmtId="173" fontId="15" fillId="34" borderId="21" xfId="0" applyNumberFormat="1" applyFont="1" applyFill="1" applyBorder="1" applyAlignment="1">
      <alignment horizontal="center" vertical="center"/>
    </xf>
    <xf numFmtId="173" fontId="15" fillId="35" borderId="21" xfId="0" applyNumberFormat="1" applyFont="1" applyFill="1" applyBorder="1" applyAlignment="1">
      <alignment horizontal="center" vertical="center"/>
    </xf>
    <xf numFmtId="173" fontId="15" fillId="35" borderId="32" xfId="0" applyNumberFormat="1" applyFont="1" applyFill="1" applyBorder="1" applyAlignment="1">
      <alignment horizontal="center" vertical="center"/>
    </xf>
    <xf numFmtId="173" fontId="18" fillId="35" borderId="21" xfId="0" applyNumberFormat="1" applyFont="1" applyFill="1" applyBorder="1" applyAlignment="1">
      <alignment horizontal="center" vertical="center"/>
    </xf>
    <xf numFmtId="173" fontId="67" fillId="0" borderId="21" xfId="0" applyNumberFormat="1" applyFont="1" applyBorder="1" applyAlignment="1">
      <alignment horizontal="center" vertical="center"/>
    </xf>
    <xf numFmtId="173" fontId="67" fillId="0" borderId="19" xfId="0" applyNumberFormat="1" applyFont="1" applyFill="1" applyBorder="1" applyAlignment="1">
      <alignment horizontal="center" vertical="center"/>
    </xf>
    <xf numFmtId="173" fontId="66" fillId="10" borderId="35" xfId="0" applyNumberFormat="1" applyFont="1" applyFill="1" applyBorder="1" applyAlignment="1">
      <alignment horizontal="center" vertical="center"/>
    </xf>
    <xf numFmtId="173" fontId="66" fillId="10" borderId="36" xfId="0" applyNumberFormat="1" applyFont="1" applyFill="1" applyBorder="1" applyAlignment="1">
      <alignment horizontal="center" vertical="center"/>
    </xf>
    <xf numFmtId="173" fontId="67" fillId="0" borderId="33" xfId="0" applyNumberFormat="1" applyFont="1" applyFill="1" applyBorder="1" applyAlignment="1">
      <alignment horizontal="center" vertical="center"/>
    </xf>
    <xf numFmtId="173" fontId="67" fillId="33" borderId="19" xfId="0" applyNumberFormat="1" applyFont="1" applyFill="1" applyBorder="1" applyAlignment="1">
      <alignment horizontal="center" vertical="center"/>
    </xf>
    <xf numFmtId="173" fontId="66" fillId="34" borderId="36" xfId="0" applyNumberFormat="1" applyFont="1" applyFill="1" applyBorder="1" applyAlignment="1">
      <alignment horizontal="center" vertical="center"/>
    </xf>
    <xf numFmtId="173" fontId="66" fillId="34" borderId="35" xfId="0" applyNumberFormat="1" applyFont="1" applyFill="1" applyBorder="1" applyAlignment="1">
      <alignment horizontal="center" vertical="center"/>
    </xf>
    <xf numFmtId="173" fontId="66" fillId="34" borderId="21" xfId="0" applyNumberFormat="1" applyFont="1" applyFill="1" applyBorder="1" applyAlignment="1">
      <alignment horizontal="center" vertical="center"/>
    </xf>
    <xf numFmtId="173" fontId="67" fillId="34" borderId="47" xfId="0" applyNumberFormat="1" applyFont="1" applyFill="1" applyBorder="1" applyAlignment="1">
      <alignment horizontal="center" vertical="center"/>
    </xf>
    <xf numFmtId="173" fontId="67" fillId="34" borderId="33" xfId="0" applyNumberFormat="1" applyFont="1" applyFill="1" applyBorder="1" applyAlignment="1">
      <alignment horizontal="center" vertical="center"/>
    </xf>
    <xf numFmtId="173" fontId="66" fillId="10" borderId="30" xfId="0" applyNumberFormat="1" applyFont="1" applyFill="1" applyBorder="1" applyAlignment="1">
      <alignment horizontal="center" vertical="center"/>
    </xf>
    <xf numFmtId="173" fontId="66" fillId="34" borderId="20" xfId="0" applyNumberFormat="1" applyFont="1" applyFill="1" applyBorder="1" applyAlignment="1">
      <alignment horizontal="center" vertical="center"/>
    </xf>
    <xf numFmtId="173" fontId="67" fillId="33" borderId="20" xfId="0" applyNumberFormat="1" applyFont="1" applyFill="1" applyBorder="1" applyAlignment="1">
      <alignment horizontal="center" vertical="center"/>
    </xf>
    <xf numFmtId="173" fontId="67" fillId="0" borderId="22" xfId="0" applyNumberFormat="1" applyFont="1" applyFill="1" applyBorder="1" applyAlignment="1">
      <alignment horizontal="center" vertical="center"/>
    </xf>
    <xf numFmtId="173" fontId="67" fillId="33" borderId="43" xfId="0" applyNumberFormat="1" applyFont="1" applyFill="1" applyBorder="1" applyAlignment="1">
      <alignment horizontal="center" vertical="center"/>
    </xf>
    <xf numFmtId="173" fontId="67" fillId="0" borderId="51" xfId="0" applyNumberFormat="1" applyFont="1" applyFill="1" applyBorder="1" applyAlignment="1">
      <alignment horizontal="center" vertical="center"/>
    </xf>
    <xf numFmtId="173" fontId="67" fillId="33" borderId="33" xfId="0" applyNumberFormat="1" applyFont="1" applyFill="1" applyBorder="1" applyAlignment="1">
      <alignment horizontal="center" vertical="center"/>
    </xf>
    <xf numFmtId="173" fontId="66" fillId="34" borderId="39" xfId="0" applyNumberFormat="1" applyFont="1" applyFill="1" applyBorder="1" applyAlignment="1">
      <alignment horizontal="center" vertical="center"/>
    </xf>
    <xf numFmtId="173" fontId="67" fillId="0" borderId="35" xfId="0" applyNumberFormat="1" applyFont="1" applyBorder="1" applyAlignment="1">
      <alignment horizontal="center" vertical="center"/>
    </xf>
    <xf numFmtId="173" fontId="67" fillId="0" borderId="33" xfId="0" applyNumberFormat="1" applyFont="1" applyBorder="1" applyAlignment="1">
      <alignment horizontal="center" vertical="center"/>
    </xf>
    <xf numFmtId="173" fontId="67" fillId="34" borderId="21" xfId="0" applyNumberFormat="1" applyFont="1" applyFill="1" applyBorder="1" applyAlignment="1">
      <alignment horizontal="center" vertical="center"/>
    </xf>
    <xf numFmtId="173" fontId="67" fillId="33" borderId="35" xfId="0" applyNumberFormat="1" applyFont="1" applyFill="1" applyBorder="1" applyAlignment="1">
      <alignment horizontal="center" vertical="center"/>
    </xf>
    <xf numFmtId="173" fontId="67" fillId="33" borderId="32" xfId="0" applyNumberFormat="1" applyFont="1" applyFill="1" applyBorder="1" applyAlignment="1">
      <alignment horizontal="center" vertical="center"/>
    </xf>
    <xf numFmtId="173" fontId="66" fillId="10" borderId="69" xfId="0" applyNumberFormat="1" applyFont="1" applyFill="1" applyBorder="1" applyAlignment="1">
      <alignment horizontal="center" vertical="center"/>
    </xf>
    <xf numFmtId="172" fontId="66" fillId="34" borderId="21" xfId="0" applyNumberFormat="1" applyFont="1" applyFill="1" applyBorder="1" applyAlignment="1">
      <alignment horizontal="center" vertical="center"/>
    </xf>
    <xf numFmtId="172" fontId="66" fillId="34" borderId="19" xfId="0" applyNumberFormat="1" applyFont="1" applyFill="1" applyBorder="1" applyAlignment="1">
      <alignment horizontal="center" vertical="center"/>
    </xf>
    <xf numFmtId="172" fontId="63" fillId="0" borderId="59" xfId="0" applyNumberFormat="1" applyFont="1" applyBorder="1" applyAlignment="1">
      <alignment horizontal="center" vertical="center" wrapText="1"/>
    </xf>
    <xf numFmtId="2" fontId="73" fillId="0" borderId="54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/>
    </xf>
    <xf numFmtId="173" fontId="66" fillId="34" borderId="69" xfId="0" applyNumberFormat="1" applyFont="1" applyFill="1" applyBorder="1" applyAlignment="1">
      <alignment horizontal="center" vertical="center"/>
    </xf>
    <xf numFmtId="2" fontId="66" fillId="34" borderId="47" xfId="0" applyNumberFormat="1" applyFont="1" applyFill="1" applyBorder="1" applyAlignment="1">
      <alignment horizontal="center" vertical="center"/>
    </xf>
    <xf numFmtId="173" fontId="17" fillId="0" borderId="15" xfId="0" applyNumberFormat="1" applyFont="1" applyBorder="1" applyAlignment="1">
      <alignment vertical="center"/>
    </xf>
    <xf numFmtId="173" fontId="17" fillId="0" borderId="70" xfId="0" applyNumberFormat="1" applyFont="1" applyBorder="1" applyAlignment="1">
      <alignment vertical="center"/>
    </xf>
    <xf numFmtId="173" fontId="0" fillId="0" borderId="60" xfId="0" applyNumberFormat="1" applyFont="1" applyBorder="1" applyAlignment="1">
      <alignment horizontal="center" vertical="center" wrapText="1"/>
    </xf>
    <xf numFmtId="173" fontId="67" fillId="0" borderId="60" xfId="0" applyNumberFormat="1" applyFont="1" applyFill="1" applyBorder="1" applyAlignment="1">
      <alignment horizontal="center" vertical="center"/>
    </xf>
    <xf numFmtId="173" fontId="67" fillId="34" borderId="22" xfId="0" applyNumberFormat="1" applyFont="1" applyFill="1" applyBorder="1" applyAlignment="1">
      <alignment horizontal="center" vertical="center"/>
    </xf>
    <xf numFmtId="173" fontId="67" fillId="35" borderId="22" xfId="0" applyNumberFormat="1" applyFont="1" applyFill="1" applyBorder="1" applyAlignment="1">
      <alignment horizontal="center" vertical="center"/>
    </xf>
    <xf numFmtId="173" fontId="67" fillId="35" borderId="33" xfId="0" applyNumberFormat="1" applyFont="1" applyFill="1" applyBorder="1" applyAlignment="1">
      <alignment horizontal="center" vertical="center"/>
    </xf>
    <xf numFmtId="173" fontId="67" fillId="36" borderId="33" xfId="0" applyNumberFormat="1" applyFont="1" applyFill="1" applyBorder="1" applyAlignment="1">
      <alignment horizontal="center" vertical="center"/>
    </xf>
    <xf numFmtId="10" fontId="67" fillId="34" borderId="33" xfId="0" applyNumberFormat="1" applyFont="1" applyFill="1" applyBorder="1" applyAlignment="1">
      <alignment horizontal="center" vertical="center"/>
    </xf>
    <xf numFmtId="175" fontId="67" fillId="33" borderId="33" xfId="0" applyNumberFormat="1" applyFont="1" applyFill="1" applyBorder="1" applyAlignment="1">
      <alignment horizontal="center" vertical="center"/>
    </xf>
    <xf numFmtId="172" fontId="15" fillId="10" borderId="57" xfId="0" applyNumberFormat="1" applyFont="1" applyFill="1" applyBorder="1" applyAlignment="1">
      <alignment horizontal="center" vertical="center"/>
    </xf>
    <xf numFmtId="173" fontId="66" fillId="10" borderId="57" xfId="0" applyNumberFormat="1" applyFont="1" applyFill="1" applyBorder="1" applyAlignment="1">
      <alignment horizontal="center" vertical="center"/>
    </xf>
    <xf numFmtId="173" fontId="15" fillId="34" borderId="20" xfId="0" applyNumberFormat="1" applyFont="1" applyFill="1" applyBorder="1" applyAlignment="1">
      <alignment horizontal="center" vertical="center"/>
    </xf>
    <xf numFmtId="173" fontId="69" fillId="38" borderId="35" xfId="0" applyNumberFormat="1" applyFont="1" applyFill="1" applyBorder="1" applyAlignment="1">
      <alignment horizontal="center" vertical="center"/>
    </xf>
    <xf numFmtId="173" fontId="0" fillId="0" borderId="35" xfId="0" applyNumberFormat="1" applyFont="1" applyBorder="1" applyAlignment="1">
      <alignment horizontal="center" vertical="center"/>
    </xf>
    <xf numFmtId="173" fontId="0" fillId="0" borderId="32" xfId="0" applyNumberFormat="1" applyFont="1" applyBorder="1" applyAlignment="1">
      <alignment horizontal="center" vertical="center"/>
    </xf>
    <xf numFmtId="173" fontId="66" fillId="0" borderId="21" xfId="0" applyNumberFormat="1" applyFont="1" applyFill="1" applyBorder="1" applyAlignment="1">
      <alignment horizontal="center" vertical="center"/>
    </xf>
    <xf numFmtId="10" fontId="67" fillId="34" borderId="21" xfId="0" applyNumberFormat="1" applyFont="1" applyFill="1" applyBorder="1" applyAlignment="1">
      <alignment horizontal="center" vertical="center"/>
    </xf>
    <xf numFmtId="173" fontId="67" fillId="35" borderId="25" xfId="0" applyNumberFormat="1" applyFont="1" applyFill="1" applyBorder="1" applyAlignment="1">
      <alignment horizontal="center" vertical="center"/>
    </xf>
    <xf numFmtId="173" fontId="67" fillId="35" borderId="30" xfId="0" applyNumberFormat="1" applyFont="1" applyFill="1" applyBorder="1" applyAlignment="1">
      <alignment horizontal="center" vertical="center"/>
    </xf>
    <xf numFmtId="173" fontId="67" fillId="35" borderId="34" xfId="0" applyNumberFormat="1" applyFont="1" applyFill="1" applyBorder="1" applyAlignment="1">
      <alignment horizontal="center" vertical="center"/>
    </xf>
    <xf numFmtId="173" fontId="67" fillId="35" borderId="36" xfId="0" applyNumberFormat="1" applyFont="1" applyFill="1" applyBorder="1" applyAlignment="1">
      <alignment horizontal="center" vertical="center"/>
    </xf>
    <xf numFmtId="173" fontId="15" fillId="35" borderId="0" xfId="0" applyNumberFormat="1" applyFont="1" applyFill="1" applyBorder="1" applyAlignment="1">
      <alignment horizontal="center" vertical="center"/>
    </xf>
    <xf numFmtId="173" fontId="15" fillId="35" borderId="30" xfId="0" applyNumberFormat="1" applyFont="1" applyFill="1" applyBorder="1" applyAlignment="1">
      <alignment horizontal="center" vertical="center"/>
    </xf>
    <xf numFmtId="173" fontId="67" fillId="35" borderId="35" xfId="0" applyNumberFormat="1" applyFont="1" applyFill="1" applyBorder="1" applyAlignment="1">
      <alignment horizontal="center" vertical="center"/>
    </xf>
    <xf numFmtId="173" fontId="67" fillId="35" borderId="56" xfId="0" applyNumberFormat="1" applyFont="1" applyFill="1" applyBorder="1" applyAlignment="1">
      <alignment horizontal="center" vertical="center"/>
    </xf>
    <xf numFmtId="173" fontId="67" fillId="35" borderId="46" xfId="0" applyNumberFormat="1" applyFont="1" applyFill="1" applyBorder="1" applyAlignment="1">
      <alignment horizontal="center" vertical="center"/>
    </xf>
    <xf numFmtId="173" fontId="68" fillId="35" borderId="0" xfId="0" applyNumberFormat="1" applyFont="1" applyFill="1" applyBorder="1" applyAlignment="1">
      <alignment horizontal="center" vertical="center" wrapText="1"/>
    </xf>
    <xf numFmtId="2" fontId="66" fillId="10" borderId="35" xfId="0" applyNumberFormat="1" applyFont="1" applyFill="1" applyBorder="1" applyAlignment="1">
      <alignment horizontal="center" vertical="center"/>
    </xf>
    <xf numFmtId="2" fontId="66" fillId="34" borderId="21" xfId="0" applyNumberFormat="1" applyFont="1" applyFill="1" applyBorder="1" applyAlignment="1">
      <alignment horizontal="center" vertical="center"/>
    </xf>
    <xf numFmtId="2" fontId="66" fillId="10" borderId="21" xfId="0" applyNumberFormat="1" applyFont="1" applyFill="1" applyBorder="1" applyAlignment="1">
      <alignment horizontal="center" vertical="center"/>
    </xf>
    <xf numFmtId="2" fontId="66" fillId="10" borderId="19" xfId="0" applyNumberFormat="1" applyFont="1" applyFill="1" applyBorder="1" applyAlignment="1">
      <alignment horizontal="center" vertical="center"/>
    </xf>
    <xf numFmtId="2" fontId="66" fillId="10" borderId="69" xfId="0" applyNumberFormat="1" applyFont="1" applyFill="1" applyBorder="1" applyAlignment="1">
      <alignment horizontal="center" vertical="center"/>
    </xf>
    <xf numFmtId="172" fontId="17" fillId="35" borderId="47" xfId="0" applyNumberFormat="1" applyFont="1" applyFill="1" applyBorder="1" applyAlignment="1">
      <alignment horizontal="center" vertical="center"/>
    </xf>
    <xf numFmtId="49" fontId="3" fillId="35" borderId="33" xfId="0" applyNumberFormat="1" applyFont="1" applyFill="1" applyBorder="1" applyAlignment="1">
      <alignment horizontal="center" vertical="center"/>
    </xf>
    <xf numFmtId="173" fontId="66" fillId="10" borderId="21" xfId="0" applyNumberFormat="1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/>
    </xf>
    <xf numFmtId="179" fontId="0" fillId="0" borderId="10" xfId="0" applyNumberFormat="1" applyFont="1" applyBorder="1" applyAlignment="1">
      <alignment horizontal="center" vertical="center"/>
    </xf>
    <xf numFmtId="173" fontId="0" fillId="0" borderId="12" xfId="0" applyNumberFormat="1" applyFont="1" applyBorder="1" applyAlignment="1">
      <alignment horizontal="center" vertical="center" wrapText="1"/>
    </xf>
    <xf numFmtId="172" fontId="67" fillId="0" borderId="29" xfId="0" applyNumberFormat="1" applyFont="1" applyFill="1" applyBorder="1" applyAlignment="1">
      <alignment horizontal="center" vertical="center"/>
    </xf>
    <xf numFmtId="178" fontId="15" fillId="35" borderId="47" xfId="0" applyNumberFormat="1" applyFont="1" applyFill="1" applyBorder="1" applyAlignment="1">
      <alignment horizontal="center" vertical="center"/>
    </xf>
    <xf numFmtId="1" fontId="67" fillId="0" borderId="12" xfId="0" applyNumberFormat="1" applyFont="1" applyFill="1" applyBorder="1" applyAlignment="1">
      <alignment horizontal="center" vertical="center"/>
    </xf>
    <xf numFmtId="2" fontId="18" fillId="33" borderId="10" xfId="0" applyNumberFormat="1" applyFont="1" applyFill="1" applyBorder="1" applyAlignment="1">
      <alignment horizontal="center" vertical="center"/>
    </xf>
    <xf numFmtId="173" fontId="18" fillId="33" borderId="34" xfId="0" applyNumberFormat="1" applyFont="1" applyFill="1" applyBorder="1" applyAlignment="1">
      <alignment horizontal="center" vertical="center"/>
    </xf>
    <xf numFmtId="173" fontId="18" fillId="33" borderId="10" xfId="0" applyNumberFormat="1" applyFont="1" applyFill="1" applyBorder="1" applyAlignment="1">
      <alignment horizontal="center" vertical="center"/>
    </xf>
    <xf numFmtId="2" fontId="18" fillId="34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173" fontId="18" fillId="35" borderId="10" xfId="0" applyNumberFormat="1" applyFont="1" applyFill="1" applyBorder="1" applyAlignment="1">
      <alignment horizontal="center" vertical="center"/>
    </xf>
    <xf numFmtId="175" fontId="18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75" fontId="19" fillId="0" borderId="10" xfId="0" applyNumberFormat="1" applyFont="1" applyFill="1" applyBorder="1" applyAlignment="1">
      <alignment horizontal="center" vertical="center"/>
    </xf>
    <xf numFmtId="2" fontId="19" fillId="36" borderId="10" xfId="0" applyNumberFormat="1" applyFont="1" applyFill="1" applyBorder="1" applyAlignment="1">
      <alignment horizontal="center" vertical="center"/>
    </xf>
    <xf numFmtId="10" fontId="18" fillId="34" borderId="10" xfId="0" applyNumberFormat="1" applyFont="1" applyFill="1" applyBorder="1" applyAlignment="1">
      <alignment horizontal="center" vertical="center"/>
    </xf>
    <xf numFmtId="2" fontId="18" fillId="34" borderId="42" xfId="0" applyNumberFormat="1" applyFont="1" applyFill="1" applyBorder="1" applyAlignment="1">
      <alignment horizontal="center" vertical="center"/>
    </xf>
    <xf numFmtId="2" fontId="18" fillId="35" borderId="10" xfId="0" applyNumberFormat="1" applyFont="1" applyFill="1" applyBorder="1" applyAlignment="1">
      <alignment horizontal="center" vertical="center"/>
    </xf>
    <xf numFmtId="172" fontId="67" fillId="0" borderId="58" xfId="0" applyNumberFormat="1" applyFont="1" applyFill="1" applyBorder="1" applyAlignment="1">
      <alignment horizontal="center" vertical="center"/>
    </xf>
    <xf numFmtId="2" fontId="67" fillId="33" borderId="33" xfId="0" applyNumberFormat="1" applyFont="1" applyFill="1" applyBorder="1" applyAlignment="1">
      <alignment horizontal="center" vertical="center"/>
    </xf>
    <xf numFmtId="190" fontId="67" fillId="35" borderId="33" xfId="0" applyNumberFormat="1" applyFont="1" applyFill="1" applyBorder="1" applyAlignment="1">
      <alignment horizontal="center" vertical="center"/>
    </xf>
    <xf numFmtId="190" fontId="67" fillId="33" borderId="33" xfId="0" applyNumberFormat="1" applyFont="1" applyFill="1" applyBorder="1" applyAlignment="1">
      <alignment horizontal="center" vertical="center"/>
    </xf>
    <xf numFmtId="2" fontId="66" fillId="10" borderId="46" xfId="0" applyNumberFormat="1" applyFont="1" applyFill="1" applyBorder="1" applyAlignment="1">
      <alignment horizontal="center" vertical="center"/>
    </xf>
    <xf numFmtId="2" fontId="66" fillId="34" borderId="53" xfId="0" applyNumberFormat="1" applyFont="1" applyFill="1" applyBorder="1" applyAlignment="1">
      <alignment horizontal="center" vertical="center"/>
    </xf>
    <xf numFmtId="2" fontId="66" fillId="10" borderId="7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2" fontId="67" fillId="34" borderId="0" xfId="0" applyNumberFormat="1" applyFont="1" applyFill="1" applyBorder="1" applyAlignment="1">
      <alignment horizontal="center" vertical="center"/>
    </xf>
    <xf numFmtId="1" fontId="15" fillId="10" borderId="39" xfId="0" applyNumberFormat="1" applyFont="1" applyFill="1" applyBorder="1" applyAlignment="1">
      <alignment horizontal="center" vertical="center"/>
    </xf>
    <xf numFmtId="173" fontId="17" fillId="0" borderId="72" xfId="0" applyNumberFormat="1" applyFont="1" applyBorder="1" applyAlignment="1">
      <alignment horizontal="center" vertical="center"/>
    </xf>
    <xf numFmtId="173" fontId="69" fillId="38" borderId="36" xfId="0" applyNumberFormat="1" applyFont="1" applyFill="1" applyBorder="1" applyAlignment="1">
      <alignment horizontal="center" vertical="center" wrapText="1"/>
    </xf>
    <xf numFmtId="173" fontId="69" fillId="38" borderId="21" xfId="0" applyNumberFormat="1" applyFont="1" applyFill="1" applyBorder="1" applyAlignment="1">
      <alignment horizontal="center" vertical="center"/>
    </xf>
    <xf numFmtId="172" fontId="67" fillId="0" borderId="35" xfId="0" applyNumberFormat="1" applyFont="1" applyFill="1" applyBorder="1" applyAlignment="1">
      <alignment horizontal="center" vertical="center"/>
    </xf>
    <xf numFmtId="172" fontId="67" fillId="33" borderId="35" xfId="0" applyNumberFormat="1" applyFont="1" applyFill="1" applyBorder="1" applyAlignment="1">
      <alignment horizontal="center" vertical="center"/>
    </xf>
    <xf numFmtId="174" fontId="67" fillId="33" borderId="21" xfId="0" applyNumberFormat="1" applyFont="1" applyFill="1" applyBorder="1" applyAlignment="1">
      <alignment horizontal="center" vertical="center"/>
    </xf>
    <xf numFmtId="190" fontId="67" fillId="33" borderId="21" xfId="0" applyNumberFormat="1" applyFont="1" applyFill="1" applyBorder="1" applyAlignment="1">
      <alignment horizontal="center" vertical="center"/>
    </xf>
    <xf numFmtId="172" fontId="67" fillId="33" borderId="32" xfId="0" applyNumberFormat="1" applyFont="1" applyFill="1" applyBorder="1" applyAlignment="1">
      <alignment horizontal="center" vertical="center"/>
    </xf>
    <xf numFmtId="1" fontId="3" fillId="10" borderId="16" xfId="0" applyNumberFormat="1" applyFont="1" applyFill="1" applyBorder="1" applyAlignment="1">
      <alignment horizontal="center" vertical="center"/>
    </xf>
    <xf numFmtId="173" fontId="18" fillId="35" borderId="56" xfId="0" applyNumberFormat="1" applyFont="1" applyFill="1" applyBorder="1" applyAlignment="1">
      <alignment horizontal="center" vertical="center"/>
    </xf>
    <xf numFmtId="173" fontId="18" fillId="35" borderId="34" xfId="0" applyNumberFormat="1" applyFont="1" applyFill="1" applyBorder="1" applyAlignment="1">
      <alignment horizontal="center" vertical="center"/>
    </xf>
    <xf numFmtId="176" fontId="67" fillId="35" borderId="30" xfId="0" applyNumberFormat="1" applyFont="1" applyFill="1" applyBorder="1" applyAlignment="1">
      <alignment horizontal="center" vertical="center"/>
    </xf>
    <xf numFmtId="173" fontId="66" fillId="34" borderId="38" xfId="0" applyNumberFormat="1" applyFont="1" applyFill="1" applyBorder="1" applyAlignment="1">
      <alignment horizontal="center" vertical="center"/>
    </xf>
    <xf numFmtId="2" fontId="66" fillId="34" borderId="69" xfId="0" applyNumberFormat="1" applyFont="1" applyFill="1" applyBorder="1" applyAlignment="1">
      <alignment horizontal="center" vertical="center"/>
    </xf>
    <xf numFmtId="173" fontId="69" fillId="38" borderId="73" xfId="0" applyNumberFormat="1" applyFont="1" applyFill="1" applyBorder="1" applyAlignment="1">
      <alignment vertical="center"/>
    </xf>
    <xf numFmtId="0" fontId="17" fillId="0" borderId="15" xfId="0" applyFont="1" applyBorder="1" applyAlignment="1">
      <alignment horizontal="center"/>
    </xf>
    <xf numFmtId="173" fontId="66" fillId="10" borderId="38" xfId="0" applyNumberFormat="1" applyFont="1" applyFill="1" applyBorder="1" applyAlignment="1">
      <alignment horizontal="center" vertical="center"/>
    </xf>
    <xf numFmtId="173" fontId="15" fillId="34" borderId="56" xfId="0" applyNumberFormat="1" applyFont="1" applyFill="1" applyBorder="1" applyAlignment="1">
      <alignment horizontal="center" vertical="center"/>
    </xf>
    <xf numFmtId="173" fontId="18" fillId="34" borderId="30" xfId="0" applyNumberFormat="1" applyFont="1" applyFill="1" applyBorder="1" applyAlignment="1">
      <alignment horizontal="center" vertical="center"/>
    </xf>
    <xf numFmtId="2" fontId="18" fillId="33" borderId="30" xfId="0" applyNumberFormat="1" applyFont="1" applyFill="1" applyBorder="1" applyAlignment="1">
      <alignment horizontal="center" vertical="center"/>
    </xf>
    <xf numFmtId="173" fontId="67" fillId="34" borderId="25" xfId="0" applyNumberFormat="1" applyFont="1" applyFill="1" applyBorder="1" applyAlignment="1">
      <alignment horizontal="center" vertical="center"/>
    </xf>
    <xf numFmtId="2" fontId="67" fillId="33" borderId="34" xfId="0" applyNumberFormat="1" applyFont="1" applyFill="1" applyBorder="1" applyAlignment="1">
      <alignment horizontal="center" vertical="center"/>
    </xf>
    <xf numFmtId="2" fontId="67" fillId="33" borderId="36" xfId="0" applyNumberFormat="1" applyFont="1" applyFill="1" applyBorder="1" applyAlignment="1">
      <alignment horizontal="center" vertical="center"/>
    </xf>
    <xf numFmtId="173" fontId="15" fillId="34" borderId="25" xfId="0" applyNumberFormat="1" applyFont="1" applyFill="1" applyBorder="1" applyAlignment="1">
      <alignment horizontal="center" vertical="center"/>
    </xf>
    <xf numFmtId="173" fontId="18" fillId="34" borderId="56" xfId="0" applyNumberFormat="1" applyFont="1" applyFill="1" applyBorder="1" applyAlignment="1">
      <alignment horizontal="center" vertical="center"/>
    </xf>
    <xf numFmtId="2" fontId="18" fillId="33" borderId="34" xfId="0" applyNumberFormat="1" applyFont="1" applyFill="1" applyBorder="1" applyAlignment="1">
      <alignment horizontal="center" vertical="center"/>
    </xf>
    <xf numFmtId="173" fontId="67" fillId="34" borderId="35" xfId="0" applyNumberFormat="1" applyFont="1" applyFill="1" applyBorder="1" applyAlignment="1">
      <alignment horizontal="center" vertical="center"/>
    </xf>
    <xf numFmtId="173" fontId="67" fillId="34" borderId="56" xfId="0" applyNumberFormat="1" applyFont="1" applyFill="1" applyBorder="1" applyAlignment="1">
      <alignment horizontal="center" vertical="center"/>
    </xf>
    <xf numFmtId="2" fontId="67" fillId="0" borderId="35" xfId="0" applyNumberFormat="1" applyFont="1" applyFill="1" applyBorder="1" applyAlignment="1">
      <alignment horizontal="center" vertical="center"/>
    </xf>
    <xf numFmtId="2" fontId="67" fillId="33" borderId="46" xfId="0" applyNumberFormat="1" applyFont="1" applyFill="1" applyBorder="1" applyAlignment="1">
      <alignment horizontal="center" vertical="center"/>
    </xf>
    <xf numFmtId="172" fontId="17" fillId="35" borderId="34" xfId="0" applyNumberFormat="1" applyFont="1" applyFill="1" applyBorder="1" applyAlignment="1">
      <alignment horizontal="center" vertical="center"/>
    </xf>
    <xf numFmtId="173" fontId="17" fillId="35" borderId="34" xfId="0" applyNumberFormat="1" applyFont="1" applyFill="1" applyBorder="1" applyAlignment="1">
      <alignment vertical="center"/>
    </xf>
    <xf numFmtId="173" fontId="17" fillId="35" borderId="25" xfId="0" applyNumberFormat="1" applyFont="1" applyFill="1" applyBorder="1" applyAlignment="1">
      <alignment vertical="center"/>
    </xf>
    <xf numFmtId="1" fontId="3" fillId="35" borderId="56" xfId="0" applyNumberFormat="1" applyFont="1" applyFill="1" applyBorder="1" applyAlignment="1">
      <alignment vertical="center"/>
    </xf>
    <xf numFmtId="173" fontId="15" fillId="35" borderId="35" xfId="0" applyNumberFormat="1" applyFont="1" applyFill="1" applyBorder="1" applyAlignment="1">
      <alignment horizontal="center" vertical="center"/>
    </xf>
    <xf numFmtId="173" fontId="15" fillId="35" borderId="34" xfId="0" applyNumberFormat="1" applyFont="1" applyFill="1" applyBorder="1" applyAlignment="1">
      <alignment horizontal="center" vertical="center"/>
    </xf>
    <xf numFmtId="173" fontId="66" fillId="34" borderId="31" xfId="0" applyNumberFormat="1" applyFont="1" applyFill="1" applyBorder="1" applyAlignment="1">
      <alignment horizontal="center" vertical="center"/>
    </xf>
    <xf numFmtId="173" fontId="66" fillId="34" borderId="26" xfId="0" applyNumberFormat="1" applyFont="1" applyFill="1" applyBorder="1" applyAlignment="1">
      <alignment horizontal="center" vertical="center"/>
    </xf>
    <xf numFmtId="173" fontId="66" fillId="34" borderId="42" xfId="0" applyNumberFormat="1" applyFont="1" applyFill="1" applyBorder="1" applyAlignment="1">
      <alignment horizontal="center" vertical="center"/>
    </xf>
    <xf numFmtId="172" fontId="66" fillId="34" borderId="42" xfId="0" applyNumberFormat="1" applyFont="1" applyFill="1" applyBorder="1" applyAlignment="1">
      <alignment horizontal="center" vertical="center"/>
    </xf>
    <xf numFmtId="190" fontId="66" fillId="34" borderId="65" xfId="0" applyNumberFormat="1" applyFont="1" applyFill="1" applyBorder="1" applyAlignment="1">
      <alignment horizontal="center" vertical="center"/>
    </xf>
    <xf numFmtId="2" fontId="66" fillId="34" borderId="45" xfId="0" applyNumberFormat="1" applyFont="1" applyFill="1" applyBorder="1" applyAlignment="1">
      <alignment horizontal="center" vertical="center"/>
    </xf>
    <xf numFmtId="190" fontId="66" fillId="34" borderId="44" xfId="0" applyNumberFormat="1" applyFont="1" applyFill="1" applyBorder="1" applyAlignment="1">
      <alignment horizontal="center" vertical="center"/>
    </xf>
    <xf numFmtId="1" fontId="66" fillId="34" borderId="71" xfId="0" applyNumberFormat="1" applyFont="1" applyFill="1" applyBorder="1" applyAlignment="1">
      <alignment horizontal="center" vertical="center"/>
    </xf>
    <xf numFmtId="173" fontId="67" fillId="33" borderId="36" xfId="0" applyNumberFormat="1" applyFont="1" applyFill="1" applyBorder="1" applyAlignment="1">
      <alignment horizontal="center" vertical="center"/>
    </xf>
    <xf numFmtId="173" fontId="67" fillId="33" borderId="56" xfId="0" applyNumberFormat="1" applyFont="1" applyFill="1" applyBorder="1" applyAlignment="1">
      <alignment horizontal="center" vertical="center"/>
    </xf>
    <xf numFmtId="173" fontId="67" fillId="10" borderId="45" xfId="0" applyNumberFormat="1" applyFont="1" applyFill="1" applyBorder="1" applyAlignment="1">
      <alignment horizontal="center" vertical="center"/>
    </xf>
    <xf numFmtId="1" fontId="66" fillId="34" borderId="19" xfId="0" applyNumberFormat="1" applyFont="1" applyFill="1" applyBorder="1" applyAlignment="1">
      <alignment horizontal="center" vertical="center"/>
    </xf>
    <xf numFmtId="173" fontId="67" fillId="10" borderId="26" xfId="0" applyNumberFormat="1" applyFont="1" applyFill="1" applyBorder="1" applyAlignment="1">
      <alignment horizontal="center" vertical="center"/>
    </xf>
    <xf numFmtId="173" fontId="67" fillId="10" borderId="42" xfId="0" applyNumberFormat="1" applyFont="1" applyFill="1" applyBorder="1" applyAlignment="1">
      <alignment horizontal="center" vertical="center"/>
    </xf>
    <xf numFmtId="179" fontId="0" fillId="0" borderId="33" xfId="0" applyNumberFormat="1" applyFont="1" applyBorder="1" applyAlignment="1">
      <alignment horizontal="center" vertical="center"/>
    </xf>
    <xf numFmtId="2" fontId="67" fillId="36" borderId="36" xfId="0" applyNumberFormat="1" applyFont="1" applyFill="1" applyBorder="1" applyAlignment="1">
      <alignment horizontal="center" vertical="center"/>
    </xf>
    <xf numFmtId="173" fontId="67" fillId="36" borderId="35" xfId="0" applyNumberFormat="1" applyFont="1" applyFill="1" applyBorder="1" applyAlignment="1">
      <alignment horizontal="center" vertical="center"/>
    </xf>
    <xf numFmtId="172" fontId="63" fillId="0" borderId="15" xfId="0" applyNumberFormat="1" applyFont="1" applyBorder="1" applyAlignment="1">
      <alignment horizontal="center" vertical="center" wrapText="1"/>
    </xf>
    <xf numFmtId="2" fontId="67" fillId="33" borderId="43" xfId="0" applyNumberFormat="1" applyFont="1" applyFill="1" applyBorder="1" applyAlignment="1">
      <alignment horizontal="center" vertical="center"/>
    </xf>
    <xf numFmtId="10" fontId="67" fillId="34" borderId="23" xfId="0" applyNumberFormat="1" applyFont="1" applyFill="1" applyBorder="1" applyAlignment="1">
      <alignment horizontal="center" vertical="center"/>
    </xf>
    <xf numFmtId="174" fontId="18" fillId="35" borderId="20" xfId="0" applyNumberFormat="1" applyFont="1" applyFill="1" applyBorder="1" applyAlignment="1">
      <alignment horizontal="center" vertical="center"/>
    </xf>
    <xf numFmtId="190" fontId="67" fillId="10" borderId="23" xfId="0" applyNumberFormat="1" applyFont="1" applyFill="1" applyBorder="1" applyAlignment="1">
      <alignment horizontal="center" vertical="center"/>
    </xf>
    <xf numFmtId="173" fontId="66" fillId="10" borderId="28" xfId="0" applyNumberFormat="1" applyFont="1" applyFill="1" applyBorder="1" applyAlignment="1">
      <alignment horizontal="center" vertical="center"/>
    </xf>
    <xf numFmtId="173" fontId="67" fillId="10" borderId="28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/>
    </xf>
    <xf numFmtId="2" fontId="66" fillId="10" borderId="47" xfId="0" applyNumberFormat="1" applyFont="1" applyFill="1" applyBorder="1" applyAlignment="1">
      <alignment horizontal="center" vertical="center"/>
    </xf>
    <xf numFmtId="2" fontId="66" fillId="34" borderId="50" xfId="0" applyNumberFormat="1" applyFont="1" applyFill="1" applyBorder="1" applyAlignment="1">
      <alignment horizontal="center" vertical="center"/>
    </xf>
    <xf numFmtId="172" fontId="66" fillId="34" borderId="47" xfId="0" applyNumberFormat="1" applyFont="1" applyFill="1" applyBorder="1" applyAlignment="1">
      <alignment horizontal="center" vertical="center"/>
    </xf>
    <xf numFmtId="1" fontId="66" fillId="34" borderId="47" xfId="0" applyNumberFormat="1" applyFont="1" applyFill="1" applyBorder="1" applyAlignment="1">
      <alignment horizontal="center" vertical="center"/>
    </xf>
    <xf numFmtId="2" fontId="66" fillId="10" borderId="73" xfId="0" applyNumberFormat="1" applyFont="1" applyFill="1" applyBorder="1" applyAlignment="1">
      <alignment horizontal="center" vertical="center"/>
    </xf>
    <xf numFmtId="2" fontId="66" fillId="34" borderId="73" xfId="0" applyNumberFormat="1" applyFont="1" applyFill="1" applyBorder="1" applyAlignment="1">
      <alignment horizontal="center" vertical="center"/>
    </xf>
    <xf numFmtId="49" fontId="3" fillId="35" borderId="60" xfId="0" applyNumberFormat="1" applyFont="1" applyFill="1" applyBorder="1" applyAlignment="1">
      <alignment horizontal="center" vertical="center"/>
    </xf>
    <xf numFmtId="173" fontId="67" fillId="10" borderId="32" xfId="0" applyNumberFormat="1" applyFont="1" applyFill="1" applyBorder="1" applyAlignment="1">
      <alignment horizontal="center" vertical="center"/>
    </xf>
    <xf numFmtId="173" fontId="17" fillId="10" borderId="42" xfId="0" applyNumberFormat="1" applyFont="1" applyFill="1" applyBorder="1" applyAlignment="1">
      <alignment vertical="center"/>
    </xf>
    <xf numFmtId="173" fontId="17" fillId="10" borderId="26" xfId="0" applyNumberFormat="1" applyFont="1" applyFill="1" applyBorder="1" applyAlignment="1">
      <alignment vertical="center"/>
    </xf>
    <xf numFmtId="1" fontId="3" fillId="10" borderId="61" xfId="0" applyNumberFormat="1" applyFont="1" applyFill="1" applyBorder="1" applyAlignment="1">
      <alignment horizontal="center" vertical="center"/>
    </xf>
    <xf numFmtId="2" fontId="66" fillId="10" borderId="38" xfId="0" applyNumberFormat="1" applyFont="1" applyFill="1" applyBorder="1" applyAlignment="1">
      <alignment horizontal="center" vertical="center"/>
    </xf>
    <xf numFmtId="2" fontId="66" fillId="10" borderId="74" xfId="0" applyNumberFormat="1" applyFont="1" applyFill="1" applyBorder="1" applyAlignment="1">
      <alignment horizontal="center" vertical="center"/>
    </xf>
    <xf numFmtId="2" fontId="66" fillId="10" borderId="50" xfId="0" applyNumberFormat="1" applyFont="1" applyFill="1" applyBorder="1" applyAlignment="1">
      <alignment horizontal="center" vertical="center"/>
    </xf>
    <xf numFmtId="173" fontId="69" fillId="38" borderId="19" xfId="0" applyNumberFormat="1" applyFont="1" applyFill="1" applyBorder="1" applyAlignment="1">
      <alignment horizontal="center" vertical="center" wrapText="1"/>
    </xf>
    <xf numFmtId="173" fontId="67" fillId="10" borderId="33" xfId="0" applyNumberFormat="1" applyFont="1" applyFill="1" applyBorder="1" applyAlignment="1">
      <alignment horizontal="center" vertical="center"/>
    </xf>
    <xf numFmtId="173" fontId="0" fillId="0" borderId="21" xfId="0" applyNumberFormat="1" applyFont="1" applyBorder="1" applyAlignment="1">
      <alignment horizontal="center" vertical="center"/>
    </xf>
    <xf numFmtId="173" fontId="15" fillId="34" borderId="22" xfId="0" applyNumberFormat="1" applyFont="1" applyFill="1" applyBorder="1" applyAlignment="1">
      <alignment horizontal="center" vertical="center"/>
    </xf>
    <xf numFmtId="173" fontId="15" fillId="35" borderId="22" xfId="0" applyNumberFormat="1" applyFont="1" applyFill="1" applyBorder="1" applyAlignment="1">
      <alignment horizontal="center" vertical="center"/>
    </xf>
    <xf numFmtId="173" fontId="67" fillId="34" borderId="32" xfId="0" applyNumberFormat="1" applyFont="1" applyFill="1" applyBorder="1" applyAlignment="1">
      <alignment horizontal="center" vertical="center"/>
    </xf>
    <xf numFmtId="173" fontId="18" fillId="35" borderId="22" xfId="0" applyNumberFormat="1" applyFont="1" applyFill="1" applyBorder="1" applyAlignment="1">
      <alignment horizontal="center" vertical="center"/>
    </xf>
    <xf numFmtId="173" fontId="67" fillId="0" borderId="35" xfId="0" applyNumberFormat="1" applyFont="1" applyFill="1" applyBorder="1" applyAlignment="1">
      <alignment horizontal="center" vertical="center"/>
    </xf>
    <xf numFmtId="173" fontId="66" fillId="34" borderId="23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/>
    </xf>
    <xf numFmtId="173" fontId="67" fillId="34" borderId="51" xfId="0" applyNumberFormat="1" applyFont="1" applyFill="1" applyBorder="1" applyAlignment="1">
      <alignment horizontal="center" vertical="center"/>
    </xf>
    <xf numFmtId="172" fontId="67" fillId="34" borderId="40" xfId="0" applyNumberFormat="1" applyFont="1" applyFill="1" applyBorder="1" applyAlignment="1">
      <alignment horizontal="center" vertical="center"/>
    </xf>
    <xf numFmtId="172" fontId="66" fillId="34" borderId="10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/>
    </xf>
    <xf numFmtId="0" fontId="0" fillId="0" borderId="47" xfId="0" applyFont="1" applyBorder="1" applyAlignment="1">
      <alignment horizontal="center" vertical="center" wrapText="1"/>
    </xf>
    <xf numFmtId="0" fontId="0" fillId="0" borderId="75" xfId="0" applyFont="1" applyBorder="1" applyAlignment="1">
      <alignment/>
    </xf>
    <xf numFmtId="173" fontId="0" fillId="0" borderId="20" xfId="0" applyNumberFormat="1" applyFont="1" applyBorder="1" applyAlignment="1">
      <alignment horizontal="center" vertical="center"/>
    </xf>
    <xf numFmtId="174" fontId="66" fillId="10" borderId="57" xfId="0" applyNumberFormat="1" applyFont="1" applyFill="1" applyBorder="1" applyAlignment="1">
      <alignment horizontal="center" vertical="center"/>
    </xf>
    <xf numFmtId="172" fontId="63" fillId="0" borderId="75" xfId="0" applyNumberFormat="1" applyFont="1" applyBorder="1" applyAlignment="1">
      <alignment horizontal="center" vertical="center"/>
    </xf>
    <xf numFmtId="173" fontId="67" fillId="35" borderId="73" xfId="0" applyNumberFormat="1" applyFont="1" applyFill="1" applyBorder="1" applyAlignment="1">
      <alignment horizontal="center" vertical="center"/>
    </xf>
    <xf numFmtId="173" fontId="67" fillId="0" borderId="20" xfId="0" applyNumberFormat="1" applyFont="1" applyBorder="1" applyAlignment="1">
      <alignment horizontal="center" vertical="center"/>
    </xf>
    <xf numFmtId="172" fontId="67" fillId="0" borderId="20" xfId="0" applyNumberFormat="1" applyFont="1" applyBorder="1" applyAlignment="1">
      <alignment horizontal="center" vertical="center"/>
    </xf>
    <xf numFmtId="172" fontId="67" fillId="0" borderId="20" xfId="0" applyNumberFormat="1" applyFont="1" applyFill="1" applyBorder="1" applyAlignment="1">
      <alignment horizontal="center" vertical="center"/>
    </xf>
    <xf numFmtId="173" fontId="67" fillId="0" borderId="76" xfId="0" applyNumberFormat="1" applyFont="1" applyFill="1" applyBorder="1" applyAlignment="1">
      <alignment horizontal="center" vertical="center"/>
    </xf>
    <xf numFmtId="172" fontId="67" fillId="0" borderId="77" xfId="0" applyNumberFormat="1" applyFont="1" applyFill="1" applyBorder="1" applyAlignment="1">
      <alignment horizontal="center" vertical="center"/>
    </xf>
    <xf numFmtId="173" fontId="66" fillId="0" borderId="20" xfId="0" applyNumberFormat="1" applyFont="1" applyFill="1" applyBorder="1" applyAlignment="1">
      <alignment horizontal="center" vertical="center"/>
    </xf>
    <xf numFmtId="173" fontId="67" fillId="34" borderId="73" xfId="0" applyNumberFormat="1" applyFont="1" applyFill="1" applyBorder="1" applyAlignment="1">
      <alignment horizontal="center" vertical="center"/>
    </xf>
    <xf numFmtId="172" fontId="67" fillId="33" borderId="20" xfId="0" applyNumberFormat="1" applyFont="1" applyFill="1" applyBorder="1" applyAlignment="1">
      <alignment horizontal="center" vertical="center"/>
    </xf>
    <xf numFmtId="173" fontId="67" fillId="36" borderId="20" xfId="0" applyNumberFormat="1" applyFont="1" applyFill="1" applyBorder="1" applyAlignment="1">
      <alignment horizontal="center" vertical="center"/>
    </xf>
    <xf numFmtId="10" fontId="67" fillId="34" borderId="20" xfId="0" applyNumberFormat="1" applyFont="1" applyFill="1" applyBorder="1" applyAlignment="1">
      <alignment horizontal="center" vertical="center"/>
    </xf>
    <xf numFmtId="175" fontId="67" fillId="33" borderId="20" xfId="0" applyNumberFormat="1" applyFont="1" applyFill="1" applyBorder="1" applyAlignment="1">
      <alignment horizontal="center" vertical="center"/>
    </xf>
    <xf numFmtId="172" fontId="67" fillId="0" borderId="73" xfId="0" applyNumberFormat="1" applyFont="1" applyBorder="1" applyAlignment="1">
      <alignment horizontal="center" vertical="center"/>
    </xf>
    <xf numFmtId="173" fontId="67" fillId="0" borderId="73" xfId="0" applyNumberFormat="1" applyFont="1" applyFill="1" applyBorder="1" applyAlignment="1">
      <alignment horizontal="center" vertical="center"/>
    </xf>
    <xf numFmtId="190" fontId="67" fillId="35" borderId="20" xfId="0" applyNumberFormat="1" applyFont="1" applyFill="1" applyBorder="1" applyAlignment="1">
      <alignment horizontal="center" vertical="center"/>
    </xf>
    <xf numFmtId="190" fontId="67" fillId="33" borderId="20" xfId="0" applyNumberFormat="1" applyFont="1" applyFill="1" applyBorder="1" applyAlignment="1">
      <alignment horizontal="center" vertical="center"/>
    </xf>
    <xf numFmtId="172" fontId="67" fillId="33" borderId="76" xfId="0" applyNumberFormat="1" applyFont="1" applyFill="1" applyBorder="1" applyAlignment="1">
      <alignment horizontal="center" vertical="center"/>
    </xf>
    <xf numFmtId="173" fontId="67" fillId="10" borderId="20" xfId="0" applyNumberFormat="1" applyFont="1" applyFill="1" applyBorder="1" applyAlignment="1">
      <alignment horizontal="center" vertical="center"/>
    </xf>
    <xf numFmtId="172" fontId="67" fillId="34" borderId="33" xfId="0" applyNumberFormat="1" applyFont="1" applyFill="1" applyBorder="1" applyAlignment="1">
      <alignment horizontal="center" vertical="center"/>
    </xf>
    <xf numFmtId="172" fontId="67" fillId="34" borderId="21" xfId="0" applyNumberFormat="1" applyFont="1" applyFill="1" applyBorder="1" applyAlignment="1">
      <alignment horizontal="center" vertical="center"/>
    </xf>
    <xf numFmtId="173" fontId="15" fillId="35" borderId="37" xfId="0" applyNumberFormat="1" applyFont="1" applyFill="1" applyBorder="1" applyAlignment="1">
      <alignment horizontal="center" vertical="center"/>
    </xf>
    <xf numFmtId="190" fontId="67" fillId="35" borderId="21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172" fontId="67" fillId="34" borderId="51" xfId="0" applyNumberFormat="1" applyFont="1" applyFill="1" applyBorder="1" applyAlignment="1">
      <alignment horizontal="center" vertical="center"/>
    </xf>
    <xf numFmtId="172" fontId="67" fillId="34" borderId="22" xfId="0" applyNumberFormat="1" applyFont="1" applyFill="1" applyBorder="1" applyAlignment="1">
      <alignment horizontal="center" vertical="center"/>
    </xf>
    <xf numFmtId="190" fontId="67" fillId="33" borderId="32" xfId="0" applyNumberFormat="1" applyFont="1" applyFill="1" applyBorder="1" applyAlignment="1">
      <alignment horizontal="center" vertical="center"/>
    </xf>
    <xf numFmtId="190" fontId="67" fillId="10" borderId="32" xfId="0" applyNumberFormat="1" applyFont="1" applyFill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2" fontId="3" fillId="34" borderId="0" xfId="0" applyNumberFormat="1" applyFont="1" applyFill="1" applyBorder="1" applyAlignment="1">
      <alignment horizontal="left" wrapText="1"/>
    </xf>
    <xf numFmtId="173" fontId="0" fillId="0" borderId="38" xfId="0" applyNumberFormat="1" applyFont="1" applyBorder="1" applyAlignment="1">
      <alignment horizontal="center" vertical="center" wrapText="1"/>
    </xf>
    <xf numFmtId="1" fontId="66" fillId="34" borderId="73" xfId="0" applyNumberFormat="1" applyFont="1" applyFill="1" applyBorder="1" applyAlignment="1">
      <alignment horizontal="center" vertical="center"/>
    </xf>
    <xf numFmtId="172" fontId="63" fillId="0" borderId="15" xfId="0" applyNumberFormat="1" applyFont="1" applyBorder="1" applyAlignment="1">
      <alignment horizontal="center" vertical="center" wrapText="1"/>
    </xf>
    <xf numFmtId="172" fontId="63" fillId="0" borderId="70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5" xfId="0" applyFont="1" applyBorder="1" applyAlignment="1">
      <alignment/>
    </xf>
    <xf numFmtId="172" fontId="67" fillId="34" borderId="58" xfId="0" applyNumberFormat="1" applyFont="1" applyFill="1" applyBorder="1" applyAlignment="1">
      <alignment horizontal="center" vertical="center"/>
    </xf>
    <xf numFmtId="177" fontId="67" fillId="35" borderId="23" xfId="0" applyNumberFormat="1" applyFont="1" applyFill="1" applyBorder="1" applyAlignment="1">
      <alignment horizontal="center" vertical="center"/>
    </xf>
    <xf numFmtId="177" fontId="67" fillId="35" borderId="13" xfId="0" applyNumberFormat="1" applyFont="1" applyFill="1" applyBorder="1" applyAlignment="1">
      <alignment horizontal="center" vertical="center"/>
    </xf>
    <xf numFmtId="177" fontId="67" fillId="35" borderId="10" xfId="0" applyNumberFormat="1" applyFont="1" applyFill="1" applyBorder="1" applyAlignment="1">
      <alignment horizontal="center" vertical="center"/>
    </xf>
    <xf numFmtId="173" fontId="69" fillId="38" borderId="73" xfId="0" applyNumberFormat="1" applyFont="1" applyFill="1" applyBorder="1" applyAlignment="1">
      <alignment horizontal="center" vertical="center"/>
    </xf>
    <xf numFmtId="173" fontId="66" fillId="34" borderId="73" xfId="0" applyNumberFormat="1" applyFont="1" applyFill="1" applyBorder="1" applyAlignment="1">
      <alignment horizontal="center" vertical="center"/>
    </xf>
    <xf numFmtId="190" fontId="66" fillId="34" borderId="73" xfId="0" applyNumberFormat="1" applyFont="1" applyFill="1" applyBorder="1" applyAlignment="1">
      <alignment horizontal="center" vertical="center"/>
    </xf>
    <xf numFmtId="173" fontId="66" fillId="10" borderId="10" xfId="0" applyNumberFormat="1" applyFont="1" applyFill="1" applyBorder="1" applyAlignment="1">
      <alignment horizontal="center" vertical="center"/>
    </xf>
    <xf numFmtId="190" fontId="66" fillId="10" borderId="73" xfId="0" applyNumberFormat="1" applyFont="1" applyFill="1" applyBorder="1" applyAlignment="1">
      <alignment horizontal="center" vertical="center"/>
    </xf>
    <xf numFmtId="173" fontId="66" fillId="10" borderId="73" xfId="0" applyNumberFormat="1" applyFont="1" applyFill="1" applyBorder="1" applyAlignment="1">
      <alignment horizontal="center" vertical="center"/>
    </xf>
    <xf numFmtId="173" fontId="66" fillId="10" borderId="34" xfId="0" applyNumberFormat="1" applyFont="1" applyFill="1" applyBorder="1" applyAlignment="1">
      <alignment horizontal="center" vertical="center"/>
    </xf>
    <xf numFmtId="173" fontId="15" fillId="35" borderId="36" xfId="0" applyNumberFormat="1" applyFont="1" applyFill="1" applyBorder="1" applyAlignment="1">
      <alignment horizontal="center" vertical="center"/>
    </xf>
    <xf numFmtId="172" fontId="66" fillId="34" borderId="73" xfId="0" applyNumberFormat="1" applyFont="1" applyFill="1" applyBorder="1" applyAlignment="1">
      <alignment horizontal="center" vertical="center"/>
    </xf>
    <xf numFmtId="192" fontId="66" fillId="34" borderId="73" xfId="0" applyNumberFormat="1" applyFont="1" applyFill="1" applyBorder="1" applyAlignment="1">
      <alignment horizontal="center" vertical="center"/>
    </xf>
    <xf numFmtId="173" fontId="67" fillId="34" borderId="36" xfId="0" applyNumberFormat="1" applyFont="1" applyFill="1" applyBorder="1" applyAlignment="1">
      <alignment horizontal="center" vertical="center"/>
    </xf>
    <xf numFmtId="190" fontId="67" fillId="10" borderId="19" xfId="0" applyNumberFormat="1" applyFont="1" applyFill="1" applyBorder="1" applyAlignment="1">
      <alignment horizontal="center" vertical="center"/>
    </xf>
    <xf numFmtId="190" fontId="67" fillId="33" borderId="19" xfId="0" applyNumberFormat="1" applyFont="1" applyFill="1" applyBorder="1" applyAlignment="1">
      <alignment horizontal="center" vertical="center"/>
    </xf>
    <xf numFmtId="190" fontId="67" fillId="33" borderId="40" xfId="0" applyNumberFormat="1" applyFont="1" applyFill="1" applyBorder="1" applyAlignment="1">
      <alignment horizontal="center" vertical="center"/>
    </xf>
    <xf numFmtId="2" fontId="67" fillId="0" borderId="36" xfId="0" applyNumberFormat="1" applyFont="1" applyBorder="1" applyAlignment="1">
      <alignment horizontal="center" vertical="center"/>
    </xf>
    <xf numFmtId="172" fontId="0" fillId="0" borderId="0" xfId="0" applyNumberFormat="1" applyFont="1" applyAlignment="1">
      <alignment/>
    </xf>
    <xf numFmtId="181" fontId="0" fillId="0" borderId="0" xfId="0" applyNumberFormat="1" applyFont="1" applyFill="1" applyBorder="1" applyAlignment="1">
      <alignment/>
    </xf>
    <xf numFmtId="182" fontId="66" fillId="34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/>
    </xf>
    <xf numFmtId="190" fontId="67" fillId="10" borderId="69" xfId="0" applyNumberFormat="1" applyFont="1" applyFill="1" applyBorder="1" applyAlignment="1">
      <alignment horizontal="center" vertical="center"/>
    </xf>
    <xf numFmtId="190" fontId="67" fillId="10" borderId="40" xfId="0" applyNumberFormat="1" applyFont="1" applyFill="1" applyBorder="1" applyAlignment="1">
      <alignment horizontal="center" vertical="center"/>
    </xf>
    <xf numFmtId="172" fontId="63" fillId="0" borderId="70" xfId="0" applyNumberFormat="1" applyFont="1" applyBorder="1" applyAlignment="1">
      <alignment horizontal="center" vertical="center"/>
    </xf>
    <xf numFmtId="2" fontId="66" fillId="10" borderId="37" xfId="0" applyNumberFormat="1" applyFont="1" applyFill="1" applyBorder="1" applyAlignment="1">
      <alignment horizontal="center" vertical="center"/>
    </xf>
    <xf numFmtId="173" fontId="0" fillId="0" borderId="45" xfId="0" applyNumberFormat="1" applyFont="1" applyBorder="1" applyAlignment="1">
      <alignment horizontal="center" vertical="center" wrapText="1"/>
    </xf>
    <xf numFmtId="173" fontId="69" fillId="38" borderId="78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0" fillId="34" borderId="23" xfId="0" applyFont="1" applyFill="1" applyBorder="1" applyAlignment="1">
      <alignment/>
    </xf>
    <xf numFmtId="1" fontId="15" fillId="10" borderId="38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17" fillId="33" borderId="27" xfId="0" applyFont="1" applyFill="1" applyBorder="1" applyAlignment="1">
      <alignment horizontal="left" vertical="center" wrapText="1"/>
    </xf>
    <xf numFmtId="49" fontId="16" fillId="33" borderId="27" xfId="0" applyNumberFormat="1" applyFont="1" applyFill="1" applyBorder="1" applyAlignment="1">
      <alignment horizontal="left" vertical="center" wrapText="1"/>
    </xf>
    <xf numFmtId="49" fontId="16" fillId="0" borderId="27" xfId="0" applyNumberFormat="1" applyFont="1" applyBorder="1" applyAlignment="1">
      <alignment horizontal="left" vertical="center"/>
    </xf>
    <xf numFmtId="49" fontId="0" fillId="33" borderId="33" xfId="0" applyNumberFormat="1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 wrapText="1"/>
    </xf>
    <xf numFmtId="172" fontId="17" fillId="10" borderId="42" xfId="0" applyNumberFormat="1" applyFont="1" applyFill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207" fontId="0" fillId="0" borderId="0" xfId="0" applyNumberFormat="1" applyFont="1" applyAlignment="1">
      <alignment/>
    </xf>
    <xf numFmtId="49" fontId="17" fillId="10" borderId="21" xfId="0" applyNumberFormat="1" applyFont="1" applyFill="1" applyBorder="1" applyAlignment="1">
      <alignment horizontal="center" vertical="center"/>
    </xf>
    <xf numFmtId="172" fontId="0" fillId="34" borderId="21" xfId="0" applyNumberFormat="1" applyFont="1" applyFill="1" applyBorder="1" applyAlignment="1">
      <alignment horizontal="center" vertical="center"/>
    </xf>
    <xf numFmtId="173" fontId="67" fillId="34" borderId="40" xfId="0" applyNumberFormat="1" applyFont="1" applyFill="1" applyBorder="1" applyAlignment="1">
      <alignment horizontal="center" vertical="center"/>
    </xf>
    <xf numFmtId="173" fontId="67" fillId="0" borderId="32" xfId="0" applyNumberFormat="1" applyFont="1" applyBorder="1" applyAlignment="1">
      <alignment horizontal="center" vertical="center"/>
    </xf>
    <xf numFmtId="173" fontId="67" fillId="10" borderId="35" xfId="0" applyNumberFormat="1" applyFont="1" applyFill="1" applyBorder="1" applyAlignment="1">
      <alignment horizontal="center" vertical="center"/>
    </xf>
    <xf numFmtId="2" fontId="66" fillId="0" borderId="21" xfId="0" applyNumberFormat="1" applyFont="1" applyFill="1" applyBorder="1" applyAlignment="1">
      <alignment horizontal="center" vertical="center"/>
    </xf>
    <xf numFmtId="2" fontId="66" fillId="0" borderId="32" xfId="0" applyNumberFormat="1" applyFont="1" applyFill="1" applyBorder="1" applyAlignment="1">
      <alignment horizontal="center" vertical="center"/>
    </xf>
    <xf numFmtId="2" fontId="66" fillId="34" borderId="40" xfId="0" applyNumberFormat="1" applyFont="1" applyFill="1" applyBorder="1" applyAlignment="1">
      <alignment horizontal="center" vertical="center"/>
    </xf>
    <xf numFmtId="173" fontId="69" fillId="38" borderId="79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3" fontId="67" fillId="35" borderId="79" xfId="0" applyNumberFormat="1" applyFont="1" applyFill="1" applyBorder="1" applyAlignment="1">
      <alignment horizontal="center" vertical="center"/>
    </xf>
    <xf numFmtId="1" fontId="67" fillId="33" borderId="35" xfId="0" applyNumberFormat="1" applyFont="1" applyFill="1" applyBorder="1" applyAlignment="1">
      <alignment horizontal="center" vertical="center"/>
    </xf>
    <xf numFmtId="173" fontId="0" fillId="0" borderId="69" xfId="0" applyNumberFormat="1" applyFont="1" applyBorder="1" applyAlignment="1">
      <alignment horizontal="center" vertical="center" wrapText="1"/>
    </xf>
    <xf numFmtId="173" fontId="67" fillId="0" borderId="38" xfId="0" applyNumberFormat="1" applyFont="1" applyBorder="1" applyAlignment="1">
      <alignment horizontal="center" vertical="center"/>
    </xf>
    <xf numFmtId="173" fontId="67" fillId="35" borderId="78" xfId="0" applyNumberFormat="1" applyFont="1" applyFill="1" applyBorder="1" applyAlignment="1">
      <alignment horizontal="center" vertical="center"/>
    </xf>
    <xf numFmtId="173" fontId="67" fillId="33" borderId="40" xfId="0" applyNumberFormat="1" applyFont="1" applyFill="1" applyBorder="1" applyAlignment="1">
      <alignment horizontal="center" vertical="center"/>
    </xf>
    <xf numFmtId="173" fontId="66" fillId="0" borderId="19" xfId="0" applyNumberFormat="1" applyFont="1" applyFill="1" applyBorder="1" applyAlignment="1">
      <alignment horizontal="center" vertical="center"/>
    </xf>
    <xf numFmtId="173" fontId="67" fillId="0" borderId="36" xfId="0" applyNumberFormat="1" applyFont="1" applyBorder="1" applyAlignment="1">
      <alignment horizontal="center" vertical="center"/>
    </xf>
    <xf numFmtId="173" fontId="67" fillId="34" borderId="69" xfId="0" applyNumberFormat="1" applyFont="1" applyFill="1" applyBorder="1" applyAlignment="1">
      <alignment horizontal="center" vertical="center"/>
    </xf>
    <xf numFmtId="173" fontId="67" fillId="10" borderId="36" xfId="0" applyNumberFormat="1" applyFont="1" applyFill="1" applyBorder="1" applyAlignment="1">
      <alignment horizontal="center" vertical="center"/>
    </xf>
    <xf numFmtId="2" fontId="66" fillId="34" borderId="22" xfId="0" applyNumberFormat="1" applyFont="1" applyFill="1" applyBorder="1" applyAlignment="1">
      <alignment horizontal="center" vertical="center"/>
    </xf>
    <xf numFmtId="2" fontId="66" fillId="10" borderId="22" xfId="0" applyNumberFormat="1" applyFont="1" applyFill="1" applyBorder="1" applyAlignment="1">
      <alignment horizontal="center" vertical="center"/>
    </xf>
    <xf numFmtId="2" fontId="66" fillId="34" borderId="62" xfId="0" applyNumberFormat="1" applyFont="1" applyFill="1" applyBorder="1" applyAlignment="1">
      <alignment horizontal="center" vertical="center"/>
    </xf>
    <xf numFmtId="2" fontId="66" fillId="10" borderId="80" xfId="0" applyNumberFormat="1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left" vertical="center"/>
    </xf>
    <xf numFmtId="173" fontId="0" fillId="33" borderId="33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172" fontId="3" fillId="33" borderId="34" xfId="0" applyNumberFormat="1" applyFont="1" applyFill="1" applyBorder="1" applyAlignment="1">
      <alignment horizontal="center" vertical="center"/>
    </xf>
    <xf numFmtId="172" fontId="3" fillId="33" borderId="13" xfId="0" applyNumberFormat="1" applyFont="1" applyFill="1" applyBorder="1" applyAlignment="1">
      <alignment horizontal="center" vertical="center"/>
    </xf>
    <xf numFmtId="43" fontId="67" fillId="33" borderId="21" xfId="0" applyNumberFormat="1" applyFont="1" applyFill="1" applyBorder="1" applyAlignment="1">
      <alignment horizontal="left" vertical="center"/>
    </xf>
    <xf numFmtId="43" fontId="67" fillId="10" borderId="21" xfId="0" applyNumberFormat="1" applyFont="1" applyFill="1" applyBorder="1" applyAlignment="1">
      <alignment horizontal="left" vertical="center"/>
    </xf>
    <xf numFmtId="1" fontId="17" fillId="0" borderId="41" xfId="0" applyNumberFormat="1" applyFont="1" applyBorder="1" applyAlignment="1">
      <alignment horizontal="center"/>
    </xf>
    <xf numFmtId="1" fontId="66" fillId="34" borderId="22" xfId="0" applyNumberFormat="1" applyFont="1" applyFill="1" applyBorder="1" applyAlignment="1">
      <alignment horizontal="center" vertical="center"/>
    </xf>
    <xf numFmtId="1" fontId="66" fillId="10" borderId="38" xfId="0" applyNumberFormat="1" applyFont="1" applyFill="1" applyBorder="1" applyAlignment="1">
      <alignment horizontal="center" vertical="center"/>
    </xf>
    <xf numFmtId="43" fontId="67" fillId="10" borderId="38" xfId="0" applyNumberFormat="1" applyFont="1" applyFill="1" applyBorder="1" applyAlignment="1">
      <alignment horizontal="left" vertical="center"/>
    </xf>
    <xf numFmtId="43" fontId="67" fillId="10" borderId="19" xfId="0" applyNumberFormat="1" applyFont="1" applyFill="1" applyBorder="1" applyAlignment="1">
      <alignment horizontal="left" vertical="center"/>
    </xf>
    <xf numFmtId="43" fontId="67" fillId="33" borderId="19" xfId="0" applyNumberFormat="1" applyFont="1" applyFill="1" applyBorder="1" applyAlignment="1">
      <alignment horizontal="left" vertical="center"/>
    </xf>
    <xf numFmtId="0" fontId="69" fillId="34" borderId="81" xfId="0" applyFont="1" applyFill="1" applyBorder="1" applyAlignment="1">
      <alignment horizontal="center" vertical="center" wrapText="1"/>
    </xf>
    <xf numFmtId="0" fontId="69" fillId="34" borderId="82" xfId="0" applyFont="1" applyFill="1" applyBorder="1" applyAlignment="1">
      <alignment horizontal="center" vertical="center" wrapText="1"/>
    </xf>
    <xf numFmtId="173" fontId="17" fillId="0" borderId="15" xfId="0" applyNumberFormat="1" applyFont="1" applyBorder="1" applyAlignment="1">
      <alignment horizontal="center" vertical="center"/>
    </xf>
    <xf numFmtId="173" fontId="17" fillId="0" borderId="70" xfId="0" applyNumberFormat="1" applyFont="1" applyBorder="1" applyAlignment="1">
      <alignment horizontal="center" vertical="center"/>
    </xf>
    <xf numFmtId="173" fontId="17" fillId="0" borderId="59" xfId="0" applyNumberFormat="1" applyFont="1" applyBorder="1" applyAlignment="1">
      <alignment horizontal="center" vertical="center"/>
    </xf>
    <xf numFmtId="173" fontId="17" fillId="35" borderId="10" xfId="0" applyNumberFormat="1" applyFont="1" applyFill="1" applyBorder="1" applyAlignment="1">
      <alignment horizontal="left" vertical="center" wrapText="1"/>
    </xf>
    <xf numFmtId="173" fontId="17" fillId="35" borderId="23" xfId="0" applyNumberFormat="1" applyFont="1" applyFill="1" applyBorder="1" applyAlignment="1">
      <alignment horizontal="left" vertical="center" wrapText="1"/>
    </xf>
    <xf numFmtId="173" fontId="17" fillId="35" borderId="33" xfId="0" applyNumberFormat="1" applyFont="1" applyFill="1" applyBorder="1" applyAlignment="1">
      <alignment horizontal="left" vertical="center" wrapText="1"/>
    </xf>
    <xf numFmtId="173" fontId="17" fillId="35" borderId="10" xfId="0" applyNumberFormat="1" applyFont="1" applyFill="1" applyBorder="1" applyAlignment="1">
      <alignment horizontal="left" vertical="center"/>
    </xf>
    <xf numFmtId="173" fontId="17" fillId="35" borderId="23" xfId="0" applyNumberFormat="1" applyFont="1" applyFill="1" applyBorder="1" applyAlignment="1">
      <alignment horizontal="left" vertical="center"/>
    </xf>
    <xf numFmtId="173" fontId="17" fillId="35" borderId="33" xfId="0" applyNumberFormat="1" applyFont="1" applyFill="1" applyBorder="1" applyAlignment="1">
      <alignment horizontal="left" vertical="center"/>
    </xf>
    <xf numFmtId="0" fontId="69" fillId="34" borderId="83" xfId="0" applyFont="1" applyFill="1" applyBorder="1" applyAlignment="1">
      <alignment horizontal="center" vertical="center" wrapText="1"/>
    </xf>
    <xf numFmtId="0" fontId="69" fillId="34" borderId="78" xfId="0" applyFont="1" applyFill="1" applyBorder="1" applyAlignment="1">
      <alignment horizontal="center" vertical="center" wrapText="1"/>
    </xf>
    <xf numFmtId="0" fontId="69" fillId="38" borderId="21" xfId="0" applyFont="1" applyFill="1" applyBorder="1" applyAlignment="1">
      <alignment horizontal="center" vertical="center" wrapText="1"/>
    </xf>
    <xf numFmtId="0" fontId="69" fillId="38" borderId="47" xfId="0" applyFont="1" applyFill="1" applyBorder="1" applyAlignment="1">
      <alignment horizontal="center" vertical="center" wrapText="1"/>
    </xf>
    <xf numFmtId="0" fontId="69" fillId="38" borderId="20" xfId="0" applyFont="1" applyFill="1" applyBorder="1" applyAlignment="1">
      <alignment horizontal="center" vertical="center" wrapText="1"/>
    </xf>
    <xf numFmtId="0" fontId="69" fillId="38" borderId="19" xfId="0" applyFont="1" applyFill="1" applyBorder="1" applyAlignment="1">
      <alignment horizontal="center" vertical="center" wrapText="1"/>
    </xf>
    <xf numFmtId="0" fontId="69" fillId="38" borderId="35" xfId="0" applyFont="1" applyFill="1" applyBorder="1" applyAlignment="1">
      <alignment horizontal="center" vertical="center" wrapText="1"/>
    </xf>
    <xf numFmtId="0" fontId="69" fillId="38" borderId="46" xfId="0" applyFont="1" applyFill="1" applyBorder="1" applyAlignment="1">
      <alignment horizontal="center" vertical="center" wrapText="1"/>
    </xf>
    <xf numFmtId="0" fontId="69" fillId="38" borderId="73" xfId="0" applyFont="1" applyFill="1" applyBorder="1" applyAlignment="1">
      <alignment horizontal="center" vertical="center" wrapText="1"/>
    </xf>
    <xf numFmtId="173" fontId="74" fillId="0" borderId="0" xfId="57" applyNumberFormat="1" applyFont="1" applyFill="1" applyAlignment="1">
      <alignment horizontal="center" vertical="center"/>
    </xf>
    <xf numFmtId="173" fontId="74" fillId="0" borderId="0" xfId="0" applyNumberFormat="1" applyFont="1" applyBorder="1" applyAlignment="1">
      <alignment horizontal="center" vertical="center"/>
    </xf>
    <xf numFmtId="0" fontId="69" fillId="38" borderId="37" xfId="0" applyFont="1" applyFill="1" applyBorder="1" applyAlignment="1">
      <alignment horizontal="center" vertical="center" wrapText="1"/>
    </xf>
    <xf numFmtId="0" fontId="69" fillId="38" borderId="36" xfId="0" applyFont="1" applyFill="1" applyBorder="1" applyAlignment="1">
      <alignment horizontal="center" vertical="center" wrapText="1"/>
    </xf>
    <xf numFmtId="2" fontId="73" fillId="0" borderId="66" xfId="0" applyNumberFormat="1" applyFont="1" applyBorder="1" applyAlignment="1">
      <alignment horizontal="center" vertical="center" wrapText="1"/>
    </xf>
    <xf numFmtId="2" fontId="73" fillId="0" borderId="72" xfId="0" applyNumberFormat="1" applyFont="1" applyBorder="1" applyAlignment="1">
      <alignment horizontal="center" vertical="center" wrapText="1"/>
    </xf>
    <xf numFmtId="2" fontId="73" fillId="0" borderId="67" xfId="0" applyNumberFormat="1" applyFont="1" applyBorder="1" applyAlignment="1">
      <alignment horizontal="center" vertical="center" wrapText="1"/>
    </xf>
    <xf numFmtId="2" fontId="70" fillId="0" borderId="11" xfId="0" applyNumberFormat="1" applyFont="1" applyBorder="1" applyAlignment="1">
      <alignment horizontal="center" vertical="center" wrapText="1"/>
    </xf>
    <xf numFmtId="2" fontId="70" fillId="0" borderId="54" xfId="0" applyNumberFormat="1" applyFont="1" applyBorder="1" applyAlignment="1">
      <alignment horizontal="center" vertical="center" wrapText="1"/>
    </xf>
    <xf numFmtId="2" fontId="70" fillId="0" borderId="68" xfId="0" applyNumberFormat="1" applyFont="1" applyBorder="1" applyAlignment="1">
      <alignment horizontal="center" vertical="center" wrapText="1"/>
    </xf>
    <xf numFmtId="2" fontId="70" fillId="0" borderId="12" xfId="0" applyNumberFormat="1" applyFont="1" applyBorder="1" applyAlignment="1">
      <alignment horizontal="center" vertical="center" wrapText="1"/>
    </xf>
    <xf numFmtId="2" fontId="70" fillId="0" borderId="0" xfId="0" applyNumberFormat="1" applyFont="1" applyBorder="1" applyAlignment="1">
      <alignment horizontal="center" vertical="center" wrapText="1"/>
    </xf>
    <xf numFmtId="2" fontId="70" fillId="0" borderId="58" xfId="0" applyNumberFormat="1" applyFont="1" applyBorder="1" applyAlignment="1">
      <alignment horizontal="center" vertical="center" wrapText="1"/>
    </xf>
    <xf numFmtId="172" fontId="63" fillId="0" borderId="15" xfId="0" applyNumberFormat="1" applyFont="1" applyBorder="1" applyAlignment="1">
      <alignment horizontal="center" vertical="center" wrapText="1"/>
    </xf>
    <xf numFmtId="172" fontId="63" fillId="0" borderId="70" xfId="0" applyNumberFormat="1" applyFont="1" applyBorder="1" applyAlignment="1">
      <alignment horizontal="center" vertical="center" wrapText="1"/>
    </xf>
    <xf numFmtId="172" fontId="63" fillId="0" borderId="59" xfId="0" applyNumberFormat="1" applyFont="1" applyBorder="1" applyAlignment="1">
      <alignment horizontal="center" vertical="center" wrapText="1"/>
    </xf>
    <xf numFmtId="0" fontId="69" fillId="34" borderId="15" xfId="0" applyFont="1" applyFill="1" applyBorder="1" applyAlignment="1">
      <alignment horizontal="center" vertical="center" wrapText="1"/>
    </xf>
    <xf numFmtId="0" fontId="69" fillId="34" borderId="70" xfId="0" applyFont="1" applyFill="1" applyBorder="1" applyAlignment="1">
      <alignment horizontal="center" vertical="center" wrapText="1"/>
    </xf>
    <xf numFmtId="0" fontId="69" fillId="34" borderId="59" xfId="0" applyFont="1" applyFill="1" applyBorder="1" applyAlignment="1">
      <alignment horizontal="center" vertical="center" wrapText="1"/>
    </xf>
    <xf numFmtId="0" fontId="69" fillId="38" borderId="79" xfId="0" applyFont="1" applyFill="1" applyBorder="1" applyAlignment="1">
      <alignment horizontal="center" vertical="center" wrapText="1"/>
    </xf>
    <xf numFmtId="0" fontId="69" fillId="38" borderId="78" xfId="0" applyFont="1" applyFill="1" applyBorder="1" applyAlignment="1">
      <alignment horizontal="center" vertical="center" wrapText="1"/>
    </xf>
    <xf numFmtId="2" fontId="63" fillId="0" borderId="15" xfId="0" applyNumberFormat="1" applyFont="1" applyBorder="1" applyAlignment="1">
      <alignment horizontal="center" vertical="center" wrapText="1"/>
    </xf>
    <xf numFmtId="2" fontId="63" fillId="0" borderId="59" xfId="0" applyNumberFormat="1" applyFont="1" applyBorder="1" applyAlignment="1">
      <alignment horizontal="center" vertical="center" wrapText="1"/>
    </xf>
    <xf numFmtId="0" fontId="17" fillId="10" borderId="23" xfId="0" applyFont="1" applyFill="1" applyBorder="1" applyAlignment="1">
      <alignment horizontal="left" vertical="center" wrapText="1"/>
    </xf>
    <xf numFmtId="0" fontId="17" fillId="10" borderId="33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17</xdr:row>
      <xdr:rowOff>0</xdr:rowOff>
    </xdr:from>
    <xdr:ext cx="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95325" y="4229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1</xdr:col>
      <xdr:colOff>371475</xdr:colOff>
      <xdr:row>17</xdr:row>
      <xdr:rowOff>0</xdr:rowOff>
    </xdr:from>
    <xdr:ext cx="0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695325" y="42291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1</xdr:col>
      <xdr:colOff>371475</xdr:colOff>
      <xdr:row>17</xdr:row>
      <xdr:rowOff>0</xdr:rowOff>
    </xdr:from>
    <xdr:ext cx="9525" cy="0"/>
    <xdr:sp fLocksText="0">
      <xdr:nvSpPr>
        <xdr:cNvPr id="3" name="Text Box 3"/>
        <xdr:cNvSpPr txBox="1">
          <a:spLocks noChangeArrowheads="1"/>
        </xdr:cNvSpPr>
      </xdr:nvSpPr>
      <xdr:spPr>
        <a:xfrm>
          <a:off x="695325" y="42291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1</xdr:col>
      <xdr:colOff>371475</xdr:colOff>
      <xdr:row>17</xdr:row>
      <xdr:rowOff>0</xdr:rowOff>
    </xdr:from>
    <xdr:ext cx="9525" cy="28575"/>
    <xdr:sp fLocksText="0">
      <xdr:nvSpPr>
        <xdr:cNvPr id="4" name="Text Box 4"/>
        <xdr:cNvSpPr txBox="1">
          <a:spLocks noChangeArrowheads="1"/>
        </xdr:cNvSpPr>
      </xdr:nvSpPr>
      <xdr:spPr>
        <a:xfrm>
          <a:off x="695325" y="42291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2</xdr:col>
      <xdr:colOff>304800</xdr:colOff>
      <xdr:row>17</xdr:row>
      <xdr:rowOff>0</xdr:rowOff>
    </xdr:from>
    <xdr:ext cx="9525" cy="28575"/>
    <xdr:sp fLocksText="0">
      <xdr:nvSpPr>
        <xdr:cNvPr id="5" name="Text Box 4"/>
        <xdr:cNvSpPr txBox="1">
          <a:spLocks noChangeArrowheads="1"/>
        </xdr:cNvSpPr>
      </xdr:nvSpPr>
      <xdr:spPr>
        <a:xfrm>
          <a:off x="1000125" y="42291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18</xdr:row>
      <xdr:rowOff>0</xdr:rowOff>
    </xdr:from>
    <xdr:ext cx="2381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933450" y="37719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1</xdr:col>
      <xdr:colOff>552450</xdr:colOff>
      <xdr:row>18</xdr:row>
      <xdr:rowOff>0</xdr:rowOff>
    </xdr:from>
    <xdr:ext cx="238125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933450" y="3771900"/>
          <a:ext cx="2381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1</xdr:col>
      <xdr:colOff>542925</xdr:colOff>
      <xdr:row>18</xdr:row>
      <xdr:rowOff>0</xdr:rowOff>
    </xdr:from>
    <xdr:ext cx="400050" cy="0"/>
    <xdr:sp fLocksText="0">
      <xdr:nvSpPr>
        <xdr:cNvPr id="3" name="Text Box 3"/>
        <xdr:cNvSpPr txBox="1">
          <a:spLocks noChangeArrowheads="1"/>
        </xdr:cNvSpPr>
      </xdr:nvSpPr>
      <xdr:spPr>
        <a:xfrm>
          <a:off x="923925" y="3771900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1</xdr:col>
      <xdr:colOff>542925</xdr:colOff>
      <xdr:row>18</xdr:row>
      <xdr:rowOff>0</xdr:rowOff>
    </xdr:from>
    <xdr:ext cx="400050" cy="28575"/>
    <xdr:sp fLocksText="0">
      <xdr:nvSpPr>
        <xdr:cNvPr id="4" name="Text Box 4"/>
        <xdr:cNvSpPr txBox="1">
          <a:spLocks noChangeArrowheads="1"/>
        </xdr:cNvSpPr>
      </xdr:nvSpPr>
      <xdr:spPr>
        <a:xfrm>
          <a:off x="923925" y="3771900"/>
          <a:ext cx="400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2</xdr:col>
      <xdr:colOff>542925</xdr:colOff>
      <xdr:row>18</xdr:row>
      <xdr:rowOff>0</xdr:rowOff>
    </xdr:from>
    <xdr:ext cx="295275" cy="28575"/>
    <xdr:sp fLocksText="0">
      <xdr:nvSpPr>
        <xdr:cNvPr id="5" name="Text Box 4"/>
        <xdr:cNvSpPr txBox="1">
          <a:spLocks noChangeArrowheads="1"/>
        </xdr:cNvSpPr>
      </xdr:nvSpPr>
      <xdr:spPr>
        <a:xfrm>
          <a:off x="1476375" y="3771900"/>
          <a:ext cx="2952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52"/>
  <sheetViews>
    <sheetView zoomScalePageLayoutView="0" workbookViewId="0" topLeftCell="A1">
      <pane xSplit="10005" ySplit="3705" topLeftCell="AB41" activePane="bottomRight" state="split"/>
      <selection pane="topLeft" activeCell="A1" sqref="A1"/>
      <selection pane="topRight" activeCell="E3" sqref="E1:J16384"/>
      <selection pane="bottomLeft" activeCell="A47" sqref="A47:IV49"/>
      <selection pane="bottomRight" activeCell="BI34" sqref="BI34"/>
    </sheetView>
  </sheetViews>
  <sheetFormatPr defaultColWidth="12.125" defaultRowHeight="12.75"/>
  <cols>
    <col min="1" max="1" width="4.25390625" style="9" customWidth="1"/>
    <col min="2" max="2" width="4.875" style="1" customWidth="1"/>
    <col min="3" max="3" width="4.00390625" style="1" customWidth="1"/>
    <col min="4" max="4" width="78.00390625" style="10" customWidth="1"/>
    <col min="5" max="5" width="11.75390625" style="10" hidden="1" customWidth="1"/>
    <col min="6" max="6" width="11.625" style="10" hidden="1" customWidth="1"/>
    <col min="7" max="7" width="16.00390625" style="10" hidden="1" customWidth="1"/>
    <col min="8" max="8" width="12.75390625" style="10" hidden="1" customWidth="1"/>
    <col min="9" max="9" width="14.75390625" style="10" hidden="1" customWidth="1"/>
    <col min="10" max="10" width="15.125" style="10" hidden="1" customWidth="1"/>
    <col min="11" max="11" width="13.75390625" style="10" customWidth="1"/>
    <col min="12" max="12" width="15.75390625" style="10" hidden="1" customWidth="1"/>
    <col min="13" max="13" width="13.00390625" style="10" hidden="1" customWidth="1"/>
    <col min="14" max="14" width="12.00390625" style="10" hidden="1" customWidth="1"/>
    <col min="15" max="15" width="11.125" style="10" hidden="1" customWidth="1"/>
    <col min="16" max="16" width="14.25390625" style="10" hidden="1" customWidth="1"/>
    <col min="17" max="17" width="11.125" style="10" hidden="1" customWidth="1"/>
    <col min="18" max="18" width="11.875" style="10" hidden="1" customWidth="1"/>
    <col min="19" max="19" width="13.25390625" style="10" hidden="1" customWidth="1"/>
    <col min="20" max="20" width="13.00390625" style="10" hidden="1" customWidth="1"/>
    <col min="21" max="21" width="15.125" style="10" customWidth="1"/>
    <col min="22" max="22" width="16.875" style="11" hidden="1" customWidth="1"/>
    <col min="23" max="23" width="12.25390625" style="11" hidden="1" customWidth="1"/>
    <col min="24" max="24" width="15.75390625" style="13" hidden="1" customWidth="1"/>
    <col min="25" max="25" width="5.25390625" style="11" hidden="1" customWidth="1"/>
    <col min="26" max="26" width="10.00390625" style="11" hidden="1" customWidth="1"/>
    <col min="27" max="27" width="3.00390625" style="11" hidden="1" customWidth="1"/>
    <col min="28" max="28" width="13.625" style="11" customWidth="1"/>
    <col min="29" max="29" width="13.875" style="11" hidden="1" customWidth="1"/>
    <col min="30" max="30" width="16.375" style="11" hidden="1" customWidth="1"/>
    <col min="31" max="31" width="13.125" style="16" hidden="1" customWidth="1"/>
    <col min="32" max="32" width="14.875" style="2" hidden="1" customWidth="1"/>
    <col min="33" max="33" width="13.625" style="2" hidden="1" customWidth="1"/>
    <col min="34" max="34" width="12.375" style="2" hidden="1" customWidth="1"/>
    <col min="35" max="35" width="11.875" style="2" hidden="1" customWidth="1"/>
    <col min="36" max="36" width="13.75390625" style="2" hidden="1" customWidth="1"/>
    <col min="37" max="37" width="12.875" style="2" hidden="1" customWidth="1"/>
    <col min="38" max="38" width="16.125" style="2" hidden="1" customWidth="1"/>
    <col min="39" max="39" width="0.875" style="1" hidden="1" customWidth="1"/>
    <col min="40" max="40" width="8.375" style="2" hidden="1" customWidth="1"/>
    <col min="41" max="41" width="12.125" style="2" hidden="1" customWidth="1"/>
    <col min="42" max="42" width="12.625" style="2" hidden="1" customWidth="1"/>
    <col min="43" max="43" width="11.75390625" style="2" hidden="1" customWidth="1"/>
    <col min="44" max="44" width="10.875" style="2" hidden="1" customWidth="1"/>
    <col min="45" max="48" width="12.125" style="2" hidden="1" customWidth="1"/>
    <col min="49" max="49" width="10.00390625" style="2" hidden="1" customWidth="1"/>
    <col min="50" max="51" width="12.125" style="2" hidden="1" customWidth="1"/>
    <col min="52" max="53" width="11.25390625" style="2" hidden="1" customWidth="1"/>
    <col min="54" max="54" width="10.00390625" style="2" hidden="1" customWidth="1"/>
    <col min="55" max="55" width="11.125" style="2" hidden="1" customWidth="1"/>
    <col min="56" max="56" width="10.375" style="2" hidden="1" customWidth="1"/>
    <col min="57" max="57" width="12.00390625" style="2" customWidth="1"/>
    <col min="58" max="58" width="11.625" style="2" customWidth="1"/>
    <col min="59" max="59" width="11.25390625" style="2" customWidth="1"/>
    <col min="60" max="16384" width="12.125" style="2" customWidth="1"/>
  </cols>
  <sheetData>
    <row r="1" spans="1:46" s="1" customFormat="1" ht="21" customHeight="1">
      <c r="A1" s="1063" t="s">
        <v>0</v>
      </c>
      <c r="B1" s="1063"/>
      <c r="C1" s="1063"/>
      <c r="D1" s="1063"/>
      <c r="E1" s="1063"/>
      <c r="F1" s="1063"/>
      <c r="G1" s="1063"/>
      <c r="H1" s="1063"/>
      <c r="I1" s="1063"/>
      <c r="J1" s="1063"/>
      <c r="K1" s="1063"/>
      <c r="L1" s="1063"/>
      <c r="M1" s="1063"/>
      <c r="N1" s="1063"/>
      <c r="O1" s="1063"/>
      <c r="P1" s="1063"/>
      <c r="Q1" s="1063"/>
      <c r="R1" s="1063"/>
      <c r="S1" s="1063"/>
      <c r="T1" s="1063"/>
      <c r="U1" s="1063"/>
      <c r="V1" s="1063"/>
      <c r="W1" s="1063"/>
      <c r="X1" s="1063"/>
      <c r="Y1" s="1063"/>
      <c r="Z1" s="1063"/>
      <c r="AA1" s="1063"/>
      <c r="AB1" s="1063"/>
      <c r="AC1" s="1063"/>
      <c r="AD1" s="1063"/>
      <c r="AE1" s="1063"/>
      <c r="AF1" s="1063"/>
      <c r="AG1" s="1063"/>
      <c r="AH1" s="1063"/>
      <c r="AI1" s="1063"/>
      <c r="AJ1" s="1063"/>
      <c r="AK1" s="1063"/>
      <c r="AL1" s="1063"/>
      <c r="AM1" s="1063"/>
      <c r="AN1" s="1063"/>
      <c r="AO1" s="1063"/>
      <c r="AP1" s="1063"/>
      <c r="AQ1" s="1063"/>
      <c r="AR1" s="1063"/>
      <c r="AS1" s="1063"/>
      <c r="AT1" s="1063"/>
    </row>
    <row r="2" spans="1:46" s="1" customFormat="1" ht="16.5" customHeight="1">
      <c r="A2" s="1064" t="s">
        <v>12</v>
      </c>
      <c r="B2" s="1064"/>
      <c r="C2" s="1064"/>
      <c r="D2" s="1064"/>
      <c r="E2" s="1064"/>
      <c r="F2" s="1064"/>
      <c r="G2" s="1064"/>
      <c r="H2" s="1064"/>
      <c r="I2" s="1064"/>
      <c r="J2" s="1064"/>
      <c r="K2" s="1064"/>
      <c r="L2" s="1064"/>
      <c r="M2" s="1064"/>
      <c r="N2" s="1064"/>
      <c r="O2" s="1064"/>
      <c r="P2" s="1064"/>
      <c r="Q2" s="1064"/>
      <c r="R2" s="1064"/>
      <c r="S2" s="1064"/>
      <c r="T2" s="1064"/>
      <c r="U2" s="1064"/>
      <c r="V2" s="1064"/>
      <c r="W2" s="1064"/>
      <c r="X2" s="1064"/>
      <c r="Y2" s="1064"/>
      <c r="Z2" s="1064"/>
      <c r="AA2" s="1064"/>
      <c r="AB2" s="1064"/>
      <c r="AC2" s="1064"/>
      <c r="AD2" s="1064"/>
      <c r="AE2" s="1064"/>
      <c r="AF2" s="1064"/>
      <c r="AG2" s="1064"/>
      <c r="AH2" s="1064"/>
      <c r="AI2" s="1064"/>
      <c r="AJ2" s="1064"/>
      <c r="AK2" s="1064"/>
      <c r="AL2" s="1064"/>
      <c r="AM2" s="1064"/>
      <c r="AN2" s="1064"/>
      <c r="AO2" s="1064"/>
      <c r="AP2" s="1064"/>
      <c r="AQ2" s="1064"/>
      <c r="AR2" s="1064"/>
      <c r="AS2" s="1064"/>
      <c r="AT2" s="1064"/>
    </row>
    <row r="3" spans="1:46" s="1" customFormat="1" ht="18" customHeight="1" thickBot="1">
      <c r="A3" s="74"/>
      <c r="B3" s="74"/>
      <c r="C3" s="74"/>
      <c r="D3" s="74"/>
      <c r="E3" s="74"/>
      <c r="F3" s="74"/>
      <c r="G3" s="74"/>
      <c r="H3" s="299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80"/>
      <c r="AJ3" s="74"/>
      <c r="AK3" s="74"/>
      <c r="AL3" s="80"/>
      <c r="AM3" s="74"/>
      <c r="AT3" s="54" t="s">
        <v>151</v>
      </c>
    </row>
    <row r="4" spans="1:61" s="1" customFormat="1" ht="28.5" customHeight="1" thickBot="1">
      <c r="A4" s="50"/>
      <c r="B4" s="1070" t="s">
        <v>129</v>
      </c>
      <c r="C4" s="1071"/>
      <c r="D4" s="1072"/>
      <c r="E4" s="762" t="s">
        <v>130</v>
      </c>
      <c r="F4" s="1067" t="s">
        <v>130</v>
      </c>
      <c r="G4" s="1068"/>
      <c r="H4" s="1068"/>
      <c r="I4" s="1068"/>
      <c r="J4" s="1068"/>
      <c r="K4" s="1068"/>
      <c r="L4" s="1068"/>
      <c r="M4" s="1068"/>
      <c r="N4" s="1068"/>
      <c r="O4" s="1068"/>
      <c r="P4" s="1068"/>
      <c r="Q4" s="1068"/>
      <c r="R4" s="1068"/>
      <c r="S4" s="1068"/>
      <c r="T4" s="1068"/>
      <c r="U4" s="1069"/>
      <c r="V4" s="831"/>
      <c r="W4" s="766" t="s">
        <v>115</v>
      </c>
      <c r="X4" s="767"/>
      <c r="Y4" s="767"/>
      <c r="Z4" s="1045" t="s">
        <v>115</v>
      </c>
      <c r="AA4" s="1046"/>
      <c r="AB4" s="1046"/>
      <c r="AC4" s="1046"/>
      <c r="AD4" s="1046"/>
      <c r="AE4" s="1046"/>
      <c r="AF4" s="1046"/>
      <c r="AG4" s="1046"/>
      <c r="AH4" s="1046"/>
      <c r="AI4" s="1046"/>
      <c r="AJ4" s="1046"/>
      <c r="AK4" s="1046"/>
      <c r="AL4" s="1046"/>
      <c r="AM4" s="1046"/>
      <c r="AN4" s="1046"/>
      <c r="AO4" s="1046"/>
      <c r="AP4" s="1046"/>
      <c r="AQ4" s="1046"/>
      <c r="AR4" s="1046"/>
      <c r="AS4" s="1046"/>
      <c r="AT4" s="1046"/>
      <c r="AU4" s="1046"/>
      <c r="AV4" s="1046"/>
      <c r="AW4" s="1046"/>
      <c r="AX4" s="1046"/>
      <c r="AY4" s="1046"/>
      <c r="AZ4" s="1046"/>
      <c r="BA4" s="1046"/>
      <c r="BB4" s="1046"/>
      <c r="BC4" s="1046"/>
      <c r="BD4" s="1046"/>
      <c r="BE4" s="1047"/>
      <c r="BF4" s="1043" t="s">
        <v>91</v>
      </c>
      <c r="BG4" s="1044"/>
      <c r="BH4" s="1054" t="s">
        <v>91</v>
      </c>
      <c r="BI4" s="1055"/>
    </row>
    <row r="5" spans="1:61" ht="33.75" customHeight="1">
      <c r="A5" s="76" t="s">
        <v>5</v>
      </c>
      <c r="B5" s="1073"/>
      <c r="C5" s="1074"/>
      <c r="D5" s="1075"/>
      <c r="E5" s="600" t="s">
        <v>93</v>
      </c>
      <c r="F5" s="364" t="s">
        <v>90</v>
      </c>
      <c r="G5" s="369" t="s">
        <v>111</v>
      </c>
      <c r="H5" s="845" t="s">
        <v>131</v>
      </c>
      <c r="I5" s="366" t="s">
        <v>98</v>
      </c>
      <c r="J5" s="833" t="s">
        <v>99</v>
      </c>
      <c r="K5" s="517" t="s">
        <v>100</v>
      </c>
      <c r="L5" s="365" t="s">
        <v>94</v>
      </c>
      <c r="M5" s="364" t="s">
        <v>101</v>
      </c>
      <c r="N5" s="366" t="s">
        <v>125</v>
      </c>
      <c r="O5" s="367" t="s">
        <v>104</v>
      </c>
      <c r="P5" s="365" t="s">
        <v>95</v>
      </c>
      <c r="Q5" s="364" t="s">
        <v>105</v>
      </c>
      <c r="R5" s="368" t="s">
        <v>128</v>
      </c>
      <c r="S5" s="340" t="s">
        <v>106</v>
      </c>
      <c r="T5" s="381" t="s">
        <v>96</v>
      </c>
      <c r="U5" s="906" t="s">
        <v>163</v>
      </c>
      <c r="V5" s="561" t="s">
        <v>93</v>
      </c>
      <c r="W5" s="546" t="s">
        <v>90</v>
      </c>
      <c r="X5" s="517" t="s">
        <v>111</v>
      </c>
      <c r="Y5" s="381" t="s">
        <v>92</v>
      </c>
      <c r="Z5" s="779" t="s">
        <v>98</v>
      </c>
      <c r="AA5" s="965" t="s">
        <v>99</v>
      </c>
      <c r="AB5" s="517" t="s">
        <v>100</v>
      </c>
      <c r="AC5" s="367" t="s">
        <v>94</v>
      </c>
      <c r="AD5" s="364" t="s">
        <v>101</v>
      </c>
      <c r="AE5" s="364" t="s">
        <v>125</v>
      </c>
      <c r="AF5" s="367" t="s">
        <v>104</v>
      </c>
      <c r="AG5" s="367" t="s">
        <v>95</v>
      </c>
      <c r="AH5" s="364" t="s">
        <v>105</v>
      </c>
      <c r="AI5" s="340" t="s">
        <v>128</v>
      </c>
      <c r="AJ5" s="370" t="s">
        <v>106</v>
      </c>
      <c r="AK5" s="412" t="s">
        <v>96</v>
      </c>
      <c r="AL5" s="340" t="s">
        <v>107</v>
      </c>
      <c r="AM5" s="371"/>
      <c r="AN5" s="1060" t="s">
        <v>116</v>
      </c>
      <c r="AO5" s="1066"/>
      <c r="AP5" s="340" t="s">
        <v>136</v>
      </c>
      <c r="AQ5" s="1065" t="s">
        <v>137</v>
      </c>
      <c r="AR5" s="1066"/>
      <c r="AS5" s="1060" t="s">
        <v>138</v>
      </c>
      <c r="AT5" s="1061"/>
      <c r="AU5" s="832" t="s">
        <v>154</v>
      </c>
      <c r="AV5" s="1060" t="s">
        <v>156</v>
      </c>
      <c r="AW5" s="1066"/>
      <c r="AX5" s="1060" t="s">
        <v>157</v>
      </c>
      <c r="AY5" s="1061"/>
      <c r="AZ5" s="832" t="s">
        <v>160</v>
      </c>
      <c r="BA5" s="1060" t="s">
        <v>161</v>
      </c>
      <c r="BB5" s="1061"/>
      <c r="BC5" s="1062" t="s">
        <v>162</v>
      </c>
      <c r="BD5" s="1061"/>
      <c r="BE5" s="381" t="s">
        <v>163</v>
      </c>
      <c r="BF5" s="1056" t="s">
        <v>164</v>
      </c>
      <c r="BG5" s="1057"/>
      <c r="BH5" s="1058" t="s">
        <v>162</v>
      </c>
      <c r="BI5" s="1059"/>
    </row>
    <row r="6" spans="1:61" ht="54.75" customHeight="1" thickBot="1">
      <c r="A6" s="77" t="s">
        <v>1</v>
      </c>
      <c r="B6" s="1073"/>
      <c r="C6" s="1074"/>
      <c r="D6" s="1075"/>
      <c r="E6" s="601" t="s">
        <v>2</v>
      </c>
      <c r="F6" s="211" t="s">
        <v>2</v>
      </c>
      <c r="G6" s="82" t="s">
        <v>2</v>
      </c>
      <c r="H6" s="239" t="s">
        <v>2</v>
      </c>
      <c r="I6" s="274" t="s">
        <v>2</v>
      </c>
      <c r="J6" s="908" t="s">
        <v>2</v>
      </c>
      <c r="K6" s="881" t="s">
        <v>2</v>
      </c>
      <c r="L6" s="287" t="s">
        <v>2</v>
      </c>
      <c r="M6" s="160" t="s">
        <v>103</v>
      </c>
      <c r="N6" s="293" t="s">
        <v>103</v>
      </c>
      <c r="O6" s="160" t="s">
        <v>103</v>
      </c>
      <c r="P6" s="220" t="s">
        <v>103</v>
      </c>
      <c r="Q6" s="160" t="s">
        <v>103</v>
      </c>
      <c r="R6" s="293" t="s">
        <v>103</v>
      </c>
      <c r="S6" s="160" t="s">
        <v>103</v>
      </c>
      <c r="T6" s="382" t="s">
        <v>103</v>
      </c>
      <c r="U6" s="87" t="s">
        <v>103</v>
      </c>
      <c r="V6" s="562" t="s">
        <v>2</v>
      </c>
      <c r="W6" s="211" t="s">
        <v>2</v>
      </c>
      <c r="X6" s="518" t="s">
        <v>2</v>
      </c>
      <c r="Y6" s="803" t="s">
        <v>2</v>
      </c>
      <c r="Z6" s="780" t="s">
        <v>2</v>
      </c>
      <c r="AA6" s="922" t="s">
        <v>2</v>
      </c>
      <c r="AB6" s="881" t="s">
        <v>2</v>
      </c>
      <c r="AC6" s="239" t="s">
        <v>2</v>
      </c>
      <c r="AD6" s="160" t="s">
        <v>103</v>
      </c>
      <c r="AE6" s="160" t="s">
        <v>103</v>
      </c>
      <c r="AF6" s="160" t="s">
        <v>103</v>
      </c>
      <c r="AG6" s="262" t="s">
        <v>103</v>
      </c>
      <c r="AH6" s="160" t="s">
        <v>103</v>
      </c>
      <c r="AI6" s="160" t="s">
        <v>103</v>
      </c>
      <c r="AJ6" s="208" t="s">
        <v>103</v>
      </c>
      <c r="AK6" s="413" t="s">
        <v>103</v>
      </c>
      <c r="AL6" s="160" t="s">
        <v>103</v>
      </c>
      <c r="AM6" s="51"/>
      <c r="AN6" s="270" t="s">
        <v>134</v>
      </c>
      <c r="AO6" s="341" t="s">
        <v>135</v>
      </c>
      <c r="AP6" s="554" t="s">
        <v>2</v>
      </c>
      <c r="AQ6" s="548" t="s">
        <v>141</v>
      </c>
      <c r="AR6" s="345" t="s">
        <v>142</v>
      </c>
      <c r="AS6" s="344" t="s">
        <v>143</v>
      </c>
      <c r="AT6" s="715" t="s">
        <v>144</v>
      </c>
      <c r="AU6" s="87" t="s">
        <v>103</v>
      </c>
      <c r="AV6" s="344" t="s">
        <v>141</v>
      </c>
      <c r="AW6" s="345" t="s">
        <v>142</v>
      </c>
      <c r="AX6" s="828" t="s">
        <v>143</v>
      </c>
      <c r="AY6" s="715" t="s">
        <v>144</v>
      </c>
      <c r="AZ6" s="87" t="s">
        <v>103</v>
      </c>
      <c r="BA6" s="344" t="s">
        <v>141</v>
      </c>
      <c r="BB6" s="715" t="s">
        <v>142</v>
      </c>
      <c r="BC6" s="920" t="s">
        <v>143</v>
      </c>
      <c r="BD6" s="715" t="s">
        <v>144</v>
      </c>
      <c r="BE6" s="803" t="s">
        <v>2</v>
      </c>
      <c r="BF6" s="344" t="s">
        <v>141</v>
      </c>
      <c r="BG6" s="715" t="s">
        <v>142</v>
      </c>
      <c r="BH6" s="920" t="s">
        <v>143</v>
      </c>
      <c r="BI6" s="345" t="s">
        <v>144</v>
      </c>
    </row>
    <row r="7" spans="1:61" ht="12" customHeight="1" hidden="1" thickBot="1">
      <c r="A7" s="77"/>
      <c r="B7" s="52"/>
      <c r="D7" s="602"/>
      <c r="E7" s="602"/>
      <c r="F7" s="273"/>
      <c r="G7" s="273"/>
      <c r="H7" s="273"/>
      <c r="I7" s="219"/>
      <c r="J7" s="728"/>
      <c r="K7" s="602"/>
      <c r="L7" s="219"/>
      <c r="M7" s="273"/>
      <c r="N7" s="219"/>
      <c r="O7" s="273"/>
      <c r="P7" s="219"/>
      <c r="Q7" s="273"/>
      <c r="R7" s="219"/>
      <c r="S7" s="273"/>
      <c r="T7" s="383"/>
      <c r="U7" s="392"/>
      <c r="V7" s="563"/>
      <c r="W7" s="84"/>
      <c r="X7" s="519"/>
      <c r="Y7" s="804"/>
      <c r="Z7" s="781"/>
      <c r="AA7" s="768"/>
      <c r="AB7" s="85"/>
      <c r="AC7" s="85"/>
      <c r="AD7" s="85"/>
      <c r="AE7" s="86"/>
      <c r="AF7" s="85"/>
      <c r="AG7" s="85"/>
      <c r="AH7" s="85"/>
      <c r="AI7" s="85"/>
      <c r="AJ7" s="266"/>
      <c r="AK7" s="414"/>
      <c r="AL7" s="434"/>
      <c r="AM7" s="51"/>
      <c r="AN7" s="171"/>
      <c r="AO7" s="343"/>
      <c r="AP7" s="171"/>
      <c r="AQ7" s="549"/>
      <c r="AR7" s="347"/>
      <c r="AS7" s="346"/>
      <c r="AT7" s="347"/>
      <c r="AU7" s="716"/>
      <c r="AV7" s="343"/>
      <c r="AW7" s="716"/>
      <c r="AX7" s="343"/>
      <c r="AY7" s="919"/>
      <c r="AZ7" s="171"/>
      <c r="BA7" s="343"/>
      <c r="BB7" s="7"/>
      <c r="BC7" s="7"/>
      <c r="BD7" s="7"/>
      <c r="BE7" s="959"/>
      <c r="BF7" s="343"/>
      <c r="BG7" s="7"/>
      <c r="BH7" s="7"/>
      <c r="BI7" s="716"/>
    </row>
    <row r="8" spans="1:61" ht="15.75" customHeight="1" thickBot="1">
      <c r="A8" s="69">
        <v>1</v>
      </c>
      <c r="B8" s="1076">
        <v>2</v>
      </c>
      <c r="C8" s="1077"/>
      <c r="D8" s="1078"/>
      <c r="E8" s="761">
        <v>3</v>
      </c>
      <c r="F8" s="212">
        <v>3</v>
      </c>
      <c r="G8" s="212">
        <v>5</v>
      </c>
      <c r="H8" s="212">
        <v>6</v>
      </c>
      <c r="I8" s="884">
        <v>3</v>
      </c>
      <c r="J8" s="956">
        <v>8</v>
      </c>
      <c r="K8" s="212">
        <v>9</v>
      </c>
      <c r="L8" s="957">
        <v>10</v>
      </c>
      <c r="M8" s="212">
        <v>11</v>
      </c>
      <c r="N8" s="957">
        <v>12</v>
      </c>
      <c r="O8" s="212">
        <v>13</v>
      </c>
      <c r="P8" s="957">
        <v>14</v>
      </c>
      <c r="Q8" s="212">
        <v>15</v>
      </c>
      <c r="R8" s="957">
        <v>16</v>
      </c>
      <c r="S8" s="212">
        <v>17</v>
      </c>
      <c r="T8" s="956">
        <v>18</v>
      </c>
      <c r="U8" s="393">
        <v>4</v>
      </c>
      <c r="V8" s="957">
        <v>4</v>
      </c>
      <c r="W8" s="212">
        <v>5</v>
      </c>
      <c r="X8" s="520">
        <v>3</v>
      </c>
      <c r="Y8" s="69">
        <v>4</v>
      </c>
      <c r="Z8" s="114">
        <v>5</v>
      </c>
      <c r="AA8" s="924">
        <v>6</v>
      </c>
      <c r="AB8" s="520">
        <v>7</v>
      </c>
      <c r="AC8" s="68">
        <v>8</v>
      </c>
      <c r="AD8" s="68">
        <v>9</v>
      </c>
      <c r="AE8" s="68">
        <v>10</v>
      </c>
      <c r="AF8" s="68">
        <v>11</v>
      </c>
      <c r="AG8" s="83">
        <v>12</v>
      </c>
      <c r="AH8" s="68">
        <v>13</v>
      </c>
      <c r="AI8" s="68">
        <v>14</v>
      </c>
      <c r="AJ8" s="114">
        <v>15</v>
      </c>
      <c r="AK8" s="415">
        <v>10</v>
      </c>
      <c r="AL8" s="68">
        <v>16</v>
      </c>
      <c r="AM8" s="957">
        <v>17</v>
      </c>
      <c r="AN8" s="78">
        <v>5</v>
      </c>
      <c r="AO8" s="342">
        <v>6</v>
      </c>
      <c r="AP8" s="78">
        <v>6</v>
      </c>
      <c r="AQ8" s="550">
        <v>7</v>
      </c>
      <c r="AR8" s="363">
        <v>8</v>
      </c>
      <c r="AS8" s="362">
        <v>9</v>
      </c>
      <c r="AT8" s="711">
        <v>10</v>
      </c>
      <c r="AU8" s="363">
        <v>6</v>
      </c>
      <c r="AV8" s="362">
        <v>7</v>
      </c>
      <c r="AW8" s="363">
        <v>8</v>
      </c>
      <c r="AX8" s="846">
        <v>9</v>
      </c>
      <c r="AY8" s="711">
        <v>10</v>
      </c>
      <c r="AZ8" s="915"/>
      <c r="BA8" s="947"/>
      <c r="BB8" s="921"/>
      <c r="BC8" s="921"/>
      <c r="BD8" s="958"/>
      <c r="BE8" s="960"/>
      <c r="BF8" s="921"/>
      <c r="BG8" s="921"/>
      <c r="BH8" s="921"/>
      <c r="BI8" s="915"/>
    </row>
    <row r="9" spans="1:61" s="65" customFormat="1" ht="21.75" customHeight="1">
      <c r="A9" s="590">
        <v>1</v>
      </c>
      <c r="B9" s="625" t="s">
        <v>18</v>
      </c>
      <c r="C9" s="504"/>
      <c r="D9" s="626"/>
      <c r="E9" s="603">
        <f>E10+E11+E16</f>
        <v>682.788003</v>
      </c>
      <c r="F9" s="505">
        <f aca="true" t="shared" si="0" ref="F9:T9">F10+F11+F16</f>
        <v>631.5728039999999</v>
      </c>
      <c r="G9" s="506">
        <f t="shared" si="0"/>
        <v>609.1350970000001</v>
      </c>
      <c r="H9" s="506">
        <f>H10+H11+H16</f>
        <v>1923.4959039999999</v>
      </c>
      <c r="I9" s="784">
        <f t="shared" si="0"/>
        <v>643.123461</v>
      </c>
      <c r="J9" s="790">
        <f t="shared" si="0"/>
        <v>530.638048</v>
      </c>
      <c r="K9" s="791">
        <f t="shared" si="0"/>
        <v>508.95383499999997</v>
      </c>
      <c r="L9" s="784">
        <f t="shared" si="0"/>
        <v>1682.715344</v>
      </c>
      <c r="M9" s="785">
        <f t="shared" si="0"/>
        <v>0</v>
      </c>
      <c r="N9" s="784">
        <f t="shared" si="0"/>
        <v>0</v>
      </c>
      <c r="O9" s="785">
        <f t="shared" si="0"/>
        <v>0</v>
      </c>
      <c r="P9" s="784">
        <f t="shared" si="0"/>
        <v>0</v>
      </c>
      <c r="Q9" s="785">
        <f t="shared" si="0"/>
        <v>0</v>
      </c>
      <c r="R9" s="784">
        <f t="shared" si="0"/>
        <v>0</v>
      </c>
      <c r="S9" s="785">
        <f t="shared" si="0"/>
        <v>0</v>
      </c>
      <c r="T9" s="786">
        <f t="shared" si="0"/>
        <v>0</v>
      </c>
      <c r="U9" s="787">
        <f>U10+U11+U16</f>
        <v>3606.2112479999996</v>
      </c>
      <c r="V9" s="788">
        <f aca="true" t="shared" si="1" ref="V9:AL9">V10+V11+V16</f>
        <v>649.023158</v>
      </c>
      <c r="W9" s="789">
        <f t="shared" si="1"/>
        <v>579.563541</v>
      </c>
      <c r="X9" s="840">
        <f t="shared" si="1"/>
        <v>602.599152</v>
      </c>
      <c r="Y9" s="841">
        <f t="shared" si="1"/>
        <v>1831.1858510000002</v>
      </c>
      <c r="Z9" s="790">
        <f t="shared" si="1"/>
        <v>648.036235</v>
      </c>
      <c r="AA9" s="925">
        <f t="shared" si="1"/>
        <v>677.741342</v>
      </c>
      <c r="AB9" s="791">
        <f t="shared" si="1"/>
        <v>635.359089</v>
      </c>
      <c r="AC9" s="842">
        <f t="shared" si="1"/>
        <v>1961.1366659999999</v>
      </c>
      <c r="AD9" s="785">
        <f t="shared" si="1"/>
        <v>614.393043</v>
      </c>
      <c r="AE9" s="785">
        <f t="shared" si="1"/>
        <v>699.569219</v>
      </c>
      <c r="AF9" s="785">
        <f t="shared" si="1"/>
        <v>665.38208</v>
      </c>
      <c r="AG9" s="785">
        <f t="shared" si="1"/>
        <v>1979.3443419999999</v>
      </c>
      <c r="AH9" s="785">
        <f t="shared" si="1"/>
        <v>619.806851</v>
      </c>
      <c r="AI9" s="785">
        <f t="shared" si="1"/>
        <v>673.1436590000001</v>
      </c>
      <c r="AJ9" s="790">
        <f t="shared" si="1"/>
        <v>733.569685</v>
      </c>
      <c r="AK9" s="792">
        <f t="shared" si="1"/>
        <v>2026.520195</v>
      </c>
      <c r="AL9" s="785">
        <f t="shared" si="1"/>
        <v>7798.187054</v>
      </c>
      <c r="AM9" s="793"/>
      <c r="AN9" s="271">
        <f>E9-V9</f>
        <v>33.76484500000004</v>
      </c>
      <c r="AO9" s="334">
        <f>E9/V9*100-100</f>
        <v>5.202409896135023</v>
      </c>
      <c r="AP9" s="745">
        <f>V9+W9</f>
        <v>1228.586699</v>
      </c>
      <c r="AQ9" s="508">
        <f>F9-W9</f>
        <v>52.00926299999992</v>
      </c>
      <c r="AR9" s="375">
        <f>F9/W9*100-100</f>
        <v>8.97386728472624</v>
      </c>
      <c r="AS9" s="374">
        <f>U9-AP9</f>
        <v>2377.6245489999997</v>
      </c>
      <c r="AT9" s="825">
        <f>U9/AP9*100-100</f>
        <v>193.52517416436717</v>
      </c>
      <c r="AU9" s="737">
        <f>Y9+Z9</f>
        <v>2479.222086</v>
      </c>
      <c r="AV9" s="736">
        <f>I9-Z9</f>
        <v>-4.912774000000013</v>
      </c>
      <c r="AW9" s="375">
        <f>I9/Z9*100-100</f>
        <v>-0.7581017441100357</v>
      </c>
      <c r="AX9" s="736">
        <f>U9-AU9</f>
        <v>1126.9891619999994</v>
      </c>
      <c r="AY9" s="825">
        <f>U9/AU9*100-100</f>
        <v>45.45737021156884</v>
      </c>
      <c r="AZ9" s="737">
        <f>AA9+AU9</f>
        <v>3156.963428</v>
      </c>
      <c r="BA9" s="794">
        <f>J9-AA9</f>
        <v>-147.103294</v>
      </c>
      <c r="BB9" s="896">
        <f>J9/AA9*100-100</f>
        <v>-21.70493149582721</v>
      </c>
      <c r="BC9" s="896">
        <f>U9-AZ9</f>
        <v>449.2478199999996</v>
      </c>
      <c r="BD9" s="825">
        <f>U9/AZ9*100-100</f>
        <v>14.230377710919726</v>
      </c>
      <c r="BE9" s="971">
        <f>AB9+AZ9</f>
        <v>3792.322517</v>
      </c>
      <c r="BF9" s="969">
        <f>K9-AB9</f>
        <v>-126.40525400000007</v>
      </c>
      <c r="BG9" s="896">
        <f>K9/AB9*100-100</f>
        <v>-19.895088649625038</v>
      </c>
      <c r="BH9" s="970">
        <f>U9-BE9</f>
        <v>-186.11126900000045</v>
      </c>
      <c r="BI9" s="375">
        <f>U9/BE9*100-100</f>
        <v>-4.907580200937872</v>
      </c>
    </row>
    <row r="10" spans="1:61" ht="17.25" customHeight="1">
      <c r="A10" s="406"/>
      <c r="B10" s="627">
        <v>1.1</v>
      </c>
      <c r="C10" s="174"/>
      <c r="D10" s="628" t="s">
        <v>14</v>
      </c>
      <c r="E10" s="589">
        <v>282.26725</v>
      </c>
      <c r="F10" s="348">
        <v>259.009188</v>
      </c>
      <c r="G10" s="222">
        <v>270.06751</v>
      </c>
      <c r="H10" s="166">
        <f aca="true" t="shared" si="2" ref="H10:H20">E10+F10+G10</f>
        <v>811.343948</v>
      </c>
      <c r="I10" s="275">
        <v>253.119394</v>
      </c>
      <c r="J10" s="117">
        <v>201.596666</v>
      </c>
      <c r="K10" s="738">
        <v>260.500989</v>
      </c>
      <c r="L10" s="148">
        <f aca="true" t="shared" si="3" ref="L10:L20">I10+J10+K10</f>
        <v>715.217049</v>
      </c>
      <c r="M10" s="249"/>
      <c r="N10" s="275"/>
      <c r="O10" s="249"/>
      <c r="P10" s="148">
        <f aca="true" t="shared" si="4" ref="P10:P20">M10+N10+O10</f>
        <v>0</v>
      </c>
      <c r="Q10" s="166"/>
      <c r="R10" s="148"/>
      <c r="S10" s="166"/>
      <c r="T10" s="384">
        <f aca="true" t="shared" si="5" ref="T10:T20">Q10+R10+S10</f>
        <v>0</v>
      </c>
      <c r="U10" s="93">
        <f aca="true" t="shared" si="6" ref="U10:U20">H10+L10+P10+T10</f>
        <v>1526.560997</v>
      </c>
      <c r="V10" s="564">
        <v>281.287315</v>
      </c>
      <c r="W10" s="348">
        <v>250.079025</v>
      </c>
      <c r="X10" s="521">
        <v>271.478602</v>
      </c>
      <c r="Y10" s="384">
        <f aca="true" t="shared" si="7" ref="Y10:Y20">V10+W10+X10</f>
        <v>802.8449420000001</v>
      </c>
      <c r="Z10" s="117">
        <v>251.289356</v>
      </c>
      <c r="AA10" s="92">
        <v>212.499204</v>
      </c>
      <c r="AB10" s="738">
        <v>254.11719</v>
      </c>
      <c r="AC10" s="166">
        <f aca="true" t="shared" si="8" ref="AC10:AC20">Z10+AA10+AB10</f>
        <v>717.9057499999999</v>
      </c>
      <c r="AD10" s="249">
        <v>246.873886</v>
      </c>
      <c r="AE10" s="249">
        <v>259.009971</v>
      </c>
      <c r="AF10" s="249">
        <v>143.756184</v>
      </c>
      <c r="AG10" s="166">
        <f aca="true" t="shared" si="9" ref="AG10:AG20">AD10+AE10+AF10</f>
        <v>649.640041</v>
      </c>
      <c r="AH10" s="166">
        <v>60.144482</v>
      </c>
      <c r="AI10" s="166">
        <v>273.042731</v>
      </c>
      <c r="AJ10" s="209">
        <v>284.095614</v>
      </c>
      <c r="AK10" s="416">
        <f aca="true" t="shared" si="10" ref="AK10:AK20">AH10+AI10+AJ10</f>
        <v>617.282827</v>
      </c>
      <c r="AL10" s="161">
        <f aca="true" t="shared" si="11" ref="AL10:AL20">Y10+AC10+AG10+AK10</f>
        <v>2787.67356</v>
      </c>
      <c r="AM10" s="115"/>
      <c r="AN10" s="272">
        <f aca="true" t="shared" si="12" ref="AN10:AN68">E10-V10</f>
        <v>0.9799350000000118</v>
      </c>
      <c r="AO10" s="332">
        <f aca="true" t="shared" si="13" ref="AO10:AO68">E10/V10*100-100</f>
        <v>0.3483751124717429</v>
      </c>
      <c r="AP10" s="351">
        <f>V10+W10</f>
        <v>531.36634</v>
      </c>
      <c r="AQ10" s="507">
        <f aca="true" t="shared" si="14" ref="AQ10:AQ68">F10-W10</f>
        <v>8.930162999999993</v>
      </c>
      <c r="AR10" s="373">
        <f aca="true" t="shared" si="15" ref="AR10:AR68">F10/W10*100-100</f>
        <v>3.5709364269954165</v>
      </c>
      <c r="AS10" s="372">
        <f aca="true" t="shared" si="16" ref="AS10:AS68">U10-AP10</f>
        <v>995.194657</v>
      </c>
      <c r="AT10" s="712">
        <f aca="true" t="shared" si="17" ref="AT10:AT68">U10/AP10*100-100</f>
        <v>187.28974383285168</v>
      </c>
      <c r="AU10" s="557">
        <f aca="true" t="shared" si="18" ref="AU10:AU73">Y10+Z10</f>
        <v>1054.134298</v>
      </c>
      <c r="AV10" s="742">
        <f aca="true" t="shared" si="19" ref="AV10:AV73">I10-Z10</f>
        <v>1.8300380000000018</v>
      </c>
      <c r="AW10" s="709">
        <f aca="true" t="shared" si="20" ref="AW10:AW72">I10/Z10*100-100</f>
        <v>0.7282592582234173</v>
      </c>
      <c r="AX10" s="742">
        <f aca="true" t="shared" si="21" ref="AX10:AX73">U10-AU10</f>
        <v>472.4266990000001</v>
      </c>
      <c r="AY10" s="765">
        <f aca="true" t="shared" si="22" ref="AY10:AY73">U10/AU10*100-100</f>
        <v>44.81655704556158</v>
      </c>
      <c r="AZ10" s="557">
        <f aca="true" t="shared" si="23" ref="AZ10:AZ73">AA10+AU10</f>
        <v>1266.633502</v>
      </c>
      <c r="BA10" s="795">
        <f aca="true" t="shared" si="24" ref="BA10:BA73">J10-AA10</f>
        <v>-10.902537999999993</v>
      </c>
      <c r="BB10" s="453">
        <f aca="true" t="shared" si="25" ref="BB10:BB73">J10/AA10*100-100</f>
        <v>-5.130625336365966</v>
      </c>
      <c r="BC10" s="453">
        <f aca="true" t="shared" si="26" ref="BC10:BC73">U10-AZ10</f>
        <v>259.92749500000014</v>
      </c>
      <c r="BD10" s="765">
        <f aca="true" t="shared" si="27" ref="BD10:BD73">U10/AZ10*100-100</f>
        <v>20.521129007686724</v>
      </c>
      <c r="BE10" s="89">
        <f aca="true" t="shared" si="28" ref="BE10:BE73">AB10+AZ10</f>
        <v>1520.7506919999998</v>
      </c>
      <c r="BF10" s="967">
        <f aca="true" t="shared" si="29" ref="BF10:BF73">K10-AB10</f>
        <v>6.38379900000001</v>
      </c>
      <c r="BG10" s="897">
        <f aca="true" t="shared" si="30" ref="BG10:BG72">K10/AB10*100-100</f>
        <v>2.5121476433766645</v>
      </c>
      <c r="BH10" s="966">
        <f aca="true" t="shared" si="31" ref="BH10:BH73">U10-BE10</f>
        <v>5.810305000000199</v>
      </c>
      <c r="BI10" s="373">
        <f aca="true" t="shared" si="32" ref="BI10:BI73">U10/BE10*100-100</f>
        <v>0.3820682134530955</v>
      </c>
    </row>
    <row r="11" spans="1:61" ht="18" customHeight="1">
      <c r="A11" s="406"/>
      <c r="B11" s="629" t="s">
        <v>19</v>
      </c>
      <c r="C11" s="175"/>
      <c r="D11" s="630" t="s">
        <v>20</v>
      </c>
      <c r="E11" s="604">
        <f>E12+E14+E15+E13</f>
        <v>241.530765</v>
      </c>
      <c r="F11" s="348">
        <f>F12+F14+F15+F13</f>
        <v>217.84976099999997</v>
      </c>
      <c r="G11" s="222">
        <f>G12+G14+G15+G13</f>
        <v>155.214741</v>
      </c>
      <c r="H11" s="166">
        <f t="shared" si="2"/>
        <v>614.5952669999999</v>
      </c>
      <c r="I11" s="275">
        <f>I12+I14+I15+I13</f>
        <v>139.865</v>
      </c>
      <c r="J11" s="117">
        <f>J12+J14+J15+J13</f>
        <v>73.740309</v>
      </c>
      <c r="K11" s="738">
        <f>K12+K14+K15+K13</f>
        <v>2.295664</v>
      </c>
      <c r="L11" s="148">
        <f t="shared" si="3"/>
        <v>215.900973</v>
      </c>
      <c r="M11" s="249">
        <f>M12+M14+M15+M13</f>
        <v>0</v>
      </c>
      <c r="N11" s="275">
        <f>N12+N14+N15+N13</f>
        <v>0</v>
      </c>
      <c r="O11" s="249">
        <f>O12+O14+O15+O13</f>
        <v>0</v>
      </c>
      <c r="P11" s="148">
        <f t="shared" si="4"/>
        <v>0</v>
      </c>
      <c r="Q11" s="166">
        <f>Q12+Q14+Q15+Q13</f>
        <v>0</v>
      </c>
      <c r="R11" s="148">
        <f>R12+R14+R15+R13</f>
        <v>0</v>
      </c>
      <c r="S11" s="166">
        <f>S12+S14+S15+S13</f>
        <v>0</v>
      </c>
      <c r="T11" s="384">
        <f t="shared" si="5"/>
        <v>0</v>
      </c>
      <c r="U11" s="93">
        <f t="shared" si="6"/>
        <v>830.49624</v>
      </c>
      <c r="V11" s="565">
        <f>V12+V14+V15+V13</f>
        <v>239.41343899999998</v>
      </c>
      <c r="W11" s="348">
        <f>W12+W14+W15+W13</f>
        <v>210.94971900000002</v>
      </c>
      <c r="X11" s="521">
        <f>X12+X14+X15+X13</f>
        <v>190.159177</v>
      </c>
      <c r="Y11" s="384">
        <f t="shared" si="7"/>
        <v>640.522335</v>
      </c>
      <c r="Z11" s="117">
        <f>Z12+Z14+Z15+Z13</f>
        <v>138.004329</v>
      </c>
      <c r="AA11" s="92">
        <f>AA12+AA14+AA15+AA13</f>
        <v>152.580845</v>
      </c>
      <c r="AB11" s="738">
        <f>AB12+AB14+AB15+AB13</f>
        <v>136.61006</v>
      </c>
      <c r="AC11" s="166">
        <f t="shared" si="8"/>
        <v>427.195234</v>
      </c>
      <c r="AD11" s="249">
        <f>AD12+AD14+AD15+AD13</f>
        <v>155.140967</v>
      </c>
      <c r="AE11" s="249">
        <f>AE12+AE14+AE15+AE13</f>
        <v>246.764818</v>
      </c>
      <c r="AF11" s="249">
        <f>AF12+AF14+AF15+AF13</f>
        <v>365.518644</v>
      </c>
      <c r="AG11" s="166">
        <f t="shared" si="9"/>
        <v>767.4244289999999</v>
      </c>
      <c r="AH11" s="166">
        <f>AH12+AH14+AH15+AH13</f>
        <v>405.461583</v>
      </c>
      <c r="AI11" s="166">
        <f>AI12+AI14+AI15+AI13</f>
        <v>246.249322</v>
      </c>
      <c r="AJ11" s="209">
        <f>AJ12+AJ14+AJ15+AJ13</f>
        <v>292.885605</v>
      </c>
      <c r="AK11" s="416">
        <f t="shared" si="10"/>
        <v>944.5965100000001</v>
      </c>
      <c r="AL11" s="161">
        <f t="shared" si="11"/>
        <v>2779.738508</v>
      </c>
      <c r="AM11" s="118"/>
      <c r="AN11" s="272">
        <f t="shared" si="12"/>
        <v>2.11732600000002</v>
      </c>
      <c r="AO11" s="332">
        <f t="shared" si="13"/>
        <v>0.8843805965295104</v>
      </c>
      <c r="AP11" s="351">
        <f aca="true" t="shared" si="33" ref="AP11:AP70">V11+W11</f>
        <v>450.363158</v>
      </c>
      <c r="AQ11" s="507">
        <f t="shared" si="14"/>
        <v>6.9000419999999565</v>
      </c>
      <c r="AR11" s="373">
        <f t="shared" si="15"/>
        <v>3.270941546027828</v>
      </c>
      <c r="AS11" s="372">
        <f t="shared" si="16"/>
        <v>380.13308199999994</v>
      </c>
      <c r="AT11" s="712">
        <f t="shared" si="17"/>
        <v>84.40590115943718</v>
      </c>
      <c r="AU11" s="557">
        <f t="shared" si="18"/>
        <v>778.526664</v>
      </c>
      <c r="AV11" s="742">
        <f t="shared" si="19"/>
        <v>1.8606709999999964</v>
      </c>
      <c r="AW11" s="709">
        <f t="shared" si="20"/>
        <v>1.3482700241961254</v>
      </c>
      <c r="AX11" s="742">
        <f t="shared" si="21"/>
        <v>51.96957599999996</v>
      </c>
      <c r="AY11" s="765">
        <f t="shared" si="22"/>
        <v>6.675375218747789</v>
      </c>
      <c r="AZ11" s="557">
        <f t="shared" si="23"/>
        <v>931.1075089999999</v>
      </c>
      <c r="BA11" s="795">
        <f t="shared" si="24"/>
        <v>-78.84053600000001</v>
      </c>
      <c r="BB11" s="453">
        <f t="shared" si="25"/>
        <v>-51.67131955521678</v>
      </c>
      <c r="BC11" s="453">
        <f t="shared" si="26"/>
        <v>-100.611269</v>
      </c>
      <c r="BD11" s="765">
        <f t="shared" si="27"/>
        <v>-10.805548019697042</v>
      </c>
      <c r="BE11" s="89">
        <f t="shared" si="28"/>
        <v>1067.717569</v>
      </c>
      <c r="BF11" s="967">
        <f t="shared" si="29"/>
        <v>-134.31439600000002</v>
      </c>
      <c r="BG11" s="897">
        <f t="shared" si="30"/>
        <v>-98.31954981939104</v>
      </c>
      <c r="BH11" s="966">
        <f t="shared" si="31"/>
        <v>-237.22132899999997</v>
      </c>
      <c r="BI11" s="373">
        <f t="shared" si="32"/>
        <v>-22.21761033886294</v>
      </c>
    </row>
    <row r="12" spans="1:61" ht="15.75" customHeight="1">
      <c r="A12" s="407"/>
      <c r="B12" s="631"/>
      <c r="C12" s="437" t="s">
        <v>21</v>
      </c>
      <c r="D12" s="632" t="s">
        <v>15</v>
      </c>
      <c r="E12" s="588">
        <v>84.054452</v>
      </c>
      <c r="F12" s="349">
        <v>73.335682</v>
      </c>
      <c r="G12" s="223">
        <v>0</v>
      </c>
      <c r="H12" s="166">
        <f t="shared" si="2"/>
        <v>157.390134</v>
      </c>
      <c r="I12" s="149">
        <v>0</v>
      </c>
      <c r="J12" s="106">
        <v>0</v>
      </c>
      <c r="K12" s="542">
        <v>0</v>
      </c>
      <c r="L12" s="148">
        <f t="shared" si="3"/>
        <v>0</v>
      </c>
      <c r="M12" s="250"/>
      <c r="N12" s="277"/>
      <c r="O12" s="250"/>
      <c r="P12" s="148">
        <f t="shared" si="4"/>
        <v>0</v>
      </c>
      <c r="Q12" s="263"/>
      <c r="R12" s="297"/>
      <c r="S12" s="263"/>
      <c r="T12" s="384">
        <f t="shared" si="5"/>
        <v>0</v>
      </c>
      <c r="U12" s="93">
        <f t="shared" si="6"/>
        <v>157.390134</v>
      </c>
      <c r="V12" s="566">
        <v>82.76214</v>
      </c>
      <c r="W12" s="349">
        <v>72.30492</v>
      </c>
      <c r="X12" s="522">
        <v>39.360104</v>
      </c>
      <c r="Y12" s="384">
        <f t="shared" si="7"/>
        <v>194.427164</v>
      </c>
      <c r="Z12" s="106">
        <v>0</v>
      </c>
      <c r="AA12" s="926">
        <v>13.332974</v>
      </c>
      <c r="AB12" s="542">
        <v>0</v>
      </c>
      <c r="AC12" s="166">
        <f t="shared" si="8"/>
        <v>13.332974</v>
      </c>
      <c r="AD12" s="250">
        <v>13.46344</v>
      </c>
      <c r="AE12" s="250">
        <v>42.229362</v>
      </c>
      <c r="AF12" s="250">
        <v>60.26644</v>
      </c>
      <c r="AG12" s="166">
        <f t="shared" si="9"/>
        <v>115.959242</v>
      </c>
      <c r="AH12" s="263">
        <v>88.346002</v>
      </c>
      <c r="AI12" s="263">
        <v>68.313464</v>
      </c>
      <c r="AJ12" s="120">
        <v>66.398855</v>
      </c>
      <c r="AK12" s="416">
        <f t="shared" si="10"/>
        <v>223.058321</v>
      </c>
      <c r="AL12" s="161">
        <f t="shared" si="11"/>
        <v>546.777701</v>
      </c>
      <c r="AM12" s="119"/>
      <c r="AN12" s="272">
        <f t="shared" si="12"/>
        <v>1.2923119999999955</v>
      </c>
      <c r="AO12" s="332">
        <f t="shared" si="13"/>
        <v>1.561477264845962</v>
      </c>
      <c r="AP12" s="351">
        <f t="shared" si="33"/>
        <v>155.06706</v>
      </c>
      <c r="AQ12" s="507">
        <f t="shared" si="14"/>
        <v>1.03076200000001</v>
      </c>
      <c r="AR12" s="373">
        <f t="shared" si="15"/>
        <v>1.4255765721060243</v>
      </c>
      <c r="AS12" s="372">
        <f t="shared" si="16"/>
        <v>2.323073999999991</v>
      </c>
      <c r="AT12" s="712">
        <f t="shared" si="17"/>
        <v>1.4981092696282303</v>
      </c>
      <c r="AU12" s="557">
        <f t="shared" si="18"/>
        <v>194.427164</v>
      </c>
      <c r="AV12" s="759">
        <f t="shared" si="19"/>
        <v>0</v>
      </c>
      <c r="AW12" s="760">
        <v>0</v>
      </c>
      <c r="AX12" s="742">
        <f t="shared" si="21"/>
        <v>-37.037030000000016</v>
      </c>
      <c r="AY12" s="765">
        <f t="shared" si="22"/>
        <v>-19.049308356933096</v>
      </c>
      <c r="AZ12" s="557">
        <f t="shared" si="23"/>
        <v>207.760138</v>
      </c>
      <c r="BA12" s="795">
        <f t="shared" si="24"/>
        <v>-13.332974</v>
      </c>
      <c r="BB12" s="453">
        <f t="shared" si="25"/>
        <v>-100</v>
      </c>
      <c r="BC12" s="453">
        <f t="shared" si="26"/>
        <v>-50.37000400000002</v>
      </c>
      <c r="BD12" s="765">
        <f t="shared" si="27"/>
        <v>-24.2443061912098</v>
      </c>
      <c r="BE12" s="89">
        <f t="shared" si="28"/>
        <v>207.760138</v>
      </c>
      <c r="BF12" s="974">
        <f t="shared" si="29"/>
        <v>0</v>
      </c>
      <c r="BG12" s="974">
        <v>0</v>
      </c>
      <c r="BH12" s="966">
        <f t="shared" si="31"/>
        <v>-50.37000400000002</v>
      </c>
      <c r="BI12" s="373">
        <f t="shared" si="32"/>
        <v>-24.2443061912098</v>
      </c>
    </row>
    <row r="13" spans="1:61" ht="17.25" customHeight="1">
      <c r="A13" s="407"/>
      <c r="B13" s="633"/>
      <c r="C13" s="176" t="s">
        <v>22</v>
      </c>
      <c r="D13" s="634" t="s">
        <v>110</v>
      </c>
      <c r="E13" s="588">
        <v>1.43868</v>
      </c>
      <c r="F13" s="349">
        <v>1.666755</v>
      </c>
      <c r="G13" s="223">
        <v>5.00052</v>
      </c>
      <c r="H13" s="166">
        <f t="shared" si="2"/>
        <v>8.105955</v>
      </c>
      <c r="I13" s="149">
        <v>0</v>
      </c>
      <c r="J13" s="106">
        <v>0</v>
      </c>
      <c r="K13" s="754">
        <v>0.125775</v>
      </c>
      <c r="L13" s="148">
        <f t="shared" si="3"/>
        <v>0.125775</v>
      </c>
      <c r="M13" s="250"/>
      <c r="N13" s="277"/>
      <c r="O13" s="250"/>
      <c r="P13" s="148">
        <f t="shared" si="4"/>
        <v>0</v>
      </c>
      <c r="Q13" s="263"/>
      <c r="R13" s="297"/>
      <c r="S13" s="263"/>
      <c r="T13" s="384">
        <f t="shared" si="5"/>
        <v>0</v>
      </c>
      <c r="U13" s="95">
        <f t="shared" si="6"/>
        <v>8.23173</v>
      </c>
      <c r="V13" s="566">
        <v>1.60902</v>
      </c>
      <c r="W13" s="349">
        <v>0.6354</v>
      </c>
      <c r="X13" s="522">
        <v>0</v>
      </c>
      <c r="Y13" s="384">
        <f t="shared" si="7"/>
        <v>2.24442</v>
      </c>
      <c r="Z13" s="106">
        <v>0</v>
      </c>
      <c r="AA13" s="927">
        <v>0</v>
      </c>
      <c r="AB13" s="542">
        <v>0</v>
      </c>
      <c r="AC13" s="166">
        <f t="shared" si="8"/>
        <v>0</v>
      </c>
      <c r="AD13" s="250">
        <v>2.19774</v>
      </c>
      <c r="AE13" s="250">
        <v>130.40622</v>
      </c>
      <c r="AF13" s="250">
        <v>200.160255</v>
      </c>
      <c r="AG13" s="166">
        <f t="shared" si="9"/>
        <v>332.76421500000004</v>
      </c>
      <c r="AH13" s="263">
        <v>166.85151</v>
      </c>
      <c r="AI13" s="263">
        <v>59.312595</v>
      </c>
      <c r="AJ13" s="120">
        <v>77.19561</v>
      </c>
      <c r="AK13" s="416">
        <f t="shared" si="10"/>
        <v>303.359715</v>
      </c>
      <c r="AL13" s="162">
        <f t="shared" si="11"/>
        <v>638.36835</v>
      </c>
      <c r="AM13" s="119"/>
      <c r="AN13" s="272">
        <f t="shared" si="12"/>
        <v>-0.17033999999999994</v>
      </c>
      <c r="AO13" s="332">
        <f t="shared" si="13"/>
        <v>-10.586568221650438</v>
      </c>
      <c r="AP13" s="351">
        <f t="shared" si="33"/>
        <v>2.24442</v>
      </c>
      <c r="AQ13" s="507">
        <f t="shared" si="14"/>
        <v>1.031355</v>
      </c>
      <c r="AR13" s="373">
        <f t="shared" si="15"/>
        <v>162.31586402266294</v>
      </c>
      <c r="AS13" s="372">
        <f t="shared" si="16"/>
        <v>5.987310000000001</v>
      </c>
      <c r="AT13" s="712">
        <f t="shared" si="17"/>
        <v>266.764241986794</v>
      </c>
      <c r="AU13" s="557">
        <f t="shared" si="18"/>
        <v>2.24442</v>
      </c>
      <c r="AV13" s="759">
        <f t="shared" si="19"/>
        <v>0</v>
      </c>
      <c r="AW13" s="760">
        <v>0</v>
      </c>
      <c r="AX13" s="742">
        <f t="shared" si="21"/>
        <v>5.987310000000001</v>
      </c>
      <c r="AY13" s="765">
        <f t="shared" si="22"/>
        <v>266.764241986794</v>
      </c>
      <c r="AZ13" s="557">
        <f t="shared" si="23"/>
        <v>2.24442</v>
      </c>
      <c r="BA13" s="795">
        <f t="shared" si="24"/>
        <v>0</v>
      </c>
      <c r="BB13" s="453" t="e">
        <f t="shared" si="25"/>
        <v>#DIV/0!</v>
      </c>
      <c r="BC13" s="453">
        <f t="shared" si="26"/>
        <v>5.987310000000001</v>
      </c>
      <c r="BD13" s="765">
        <f t="shared" si="27"/>
        <v>266.764241986794</v>
      </c>
      <c r="BE13" s="89">
        <f t="shared" si="28"/>
        <v>2.24442</v>
      </c>
      <c r="BF13" s="967">
        <f t="shared" si="29"/>
        <v>0.125775</v>
      </c>
      <c r="BG13" s="955">
        <v>0</v>
      </c>
      <c r="BH13" s="966">
        <f t="shared" si="31"/>
        <v>5.987310000000001</v>
      </c>
      <c r="BI13" s="373"/>
    </row>
    <row r="14" spans="1:61" ht="19.5" customHeight="1" hidden="1">
      <c r="A14" s="407"/>
      <c r="B14" s="635"/>
      <c r="C14" s="492" t="s">
        <v>23</v>
      </c>
      <c r="D14" s="636" t="s">
        <v>16</v>
      </c>
      <c r="E14" s="605">
        <v>0</v>
      </c>
      <c r="F14" s="350"/>
      <c r="G14" s="224"/>
      <c r="H14" s="166">
        <f t="shared" si="2"/>
        <v>0</v>
      </c>
      <c r="I14" s="276"/>
      <c r="J14" s="123"/>
      <c r="K14" s="286"/>
      <c r="L14" s="148">
        <f t="shared" si="3"/>
        <v>0</v>
      </c>
      <c r="M14" s="241"/>
      <c r="N14" s="276"/>
      <c r="O14" s="241"/>
      <c r="P14" s="151">
        <f t="shared" si="4"/>
        <v>0</v>
      </c>
      <c r="Q14" s="240"/>
      <c r="R14" s="151"/>
      <c r="S14" s="240"/>
      <c r="T14" s="385">
        <f t="shared" si="5"/>
        <v>0</v>
      </c>
      <c r="U14" s="96">
        <f t="shared" si="6"/>
        <v>0</v>
      </c>
      <c r="V14" s="567">
        <v>0</v>
      </c>
      <c r="W14" s="350">
        <v>0</v>
      </c>
      <c r="X14" s="523">
        <v>0</v>
      </c>
      <c r="Y14" s="384">
        <f t="shared" si="7"/>
        <v>0</v>
      </c>
      <c r="Z14" s="123">
        <v>0</v>
      </c>
      <c r="AA14" s="928">
        <v>0</v>
      </c>
      <c r="AB14" s="286">
        <v>0</v>
      </c>
      <c r="AC14" s="166">
        <f t="shared" si="8"/>
        <v>0</v>
      </c>
      <c r="AD14" s="241">
        <v>0</v>
      </c>
      <c r="AE14" s="241">
        <v>0</v>
      </c>
      <c r="AF14" s="241">
        <v>0</v>
      </c>
      <c r="AG14" s="240">
        <f t="shared" si="9"/>
        <v>0</v>
      </c>
      <c r="AH14" s="240">
        <v>0</v>
      </c>
      <c r="AI14" s="240">
        <v>0</v>
      </c>
      <c r="AJ14" s="267">
        <v>0</v>
      </c>
      <c r="AK14" s="417">
        <f t="shared" si="10"/>
        <v>0</v>
      </c>
      <c r="AL14" s="163">
        <f t="shared" si="11"/>
        <v>0</v>
      </c>
      <c r="AM14" s="119"/>
      <c r="AN14" s="272">
        <f t="shared" si="12"/>
        <v>0</v>
      </c>
      <c r="AO14" s="332" t="e">
        <f t="shared" si="13"/>
        <v>#DIV/0!</v>
      </c>
      <c r="AP14" s="351">
        <f t="shared" si="33"/>
        <v>0</v>
      </c>
      <c r="AQ14" s="507">
        <f t="shared" si="14"/>
        <v>0</v>
      </c>
      <c r="AR14" s="373" t="e">
        <f t="shared" si="15"/>
        <v>#DIV/0!</v>
      </c>
      <c r="AS14" s="372">
        <f t="shared" si="16"/>
        <v>0</v>
      </c>
      <c r="AT14" s="712" t="e">
        <f t="shared" si="17"/>
        <v>#DIV/0!</v>
      </c>
      <c r="AU14" s="557">
        <f t="shared" si="18"/>
        <v>0</v>
      </c>
      <c r="AV14" s="742">
        <f t="shared" si="19"/>
        <v>0</v>
      </c>
      <c r="AW14" s="709" t="e">
        <f t="shared" si="20"/>
        <v>#DIV/0!</v>
      </c>
      <c r="AX14" s="742">
        <f t="shared" si="21"/>
        <v>0</v>
      </c>
      <c r="AY14" s="765" t="e">
        <f t="shared" si="22"/>
        <v>#DIV/0!</v>
      </c>
      <c r="AZ14" s="557">
        <f t="shared" si="23"/>
        <v>0</v>
      </c>
      <c r="BA14" s="795">
        <f t="shared" si="24"/>
        <v>0</v>
      </c>
      <c r="BB14" s="453" t="e">
        <f t="shared" si="25"/>
        <v>#DIV/0!</v>
      </c>
      <c r="BC14" s="453">
        <f t="shared" si="26"/>
        <v>0</v>
      </c>
      <c r="BD14" s="765" t="e">
        <f t="shared" si="27"/>
        <v>#DIV/0!</v>
      </c>
      <c r="BE14" s="89">
        <f t="shared" si="28"/>
        <v>0</v>
      </c>
      <c r="BF14" s="967">
        <f t="shared" si="29"/>
        <v>0</v>
      </c>
      <c r="BG14" s="897" t="e">
        <f t="shared" si="30"/>
        <v>#DIV/0!</v>
      </c>
      <c r="BH14" s="966">
        <f t="shared" si="31"/>
        <v>0</v>
      </c>
      <c r="BI14" s="373" t="e">
        <f t="shared" si="32"/>
        <v>#DIV/0!</v>
      </c>
    </row>
    <row r="15" spans="1:61" ht="21" customHeight="1">
      <c r="A15" s="407"/>
      <c r="B15" s="633"/>
      <c r="C15" s="199" t="s">
        <v>23</v>
      </c>
      <c r="D15" s="637" t="s">
        <v>17</v>
      </c>
      <c r="E15" s="589">
        <v>156.037633</v>
      </c>
      <c r="F15" s="348">
        <v>142.847324</v>
      </c>
      <c r="G15" s="222">
        <v>150.214221</v>
      </c>
      <c r="H15" s="166">
        <f t="shared" si="2"/>
        <v>449.099178</v>
      </c>
      <c r="I15" s="275">
        <v>139.865</v>
      </c>
      <c r="J15" s="117">
        <v>73.740309</v>
      </c>
      <c r="K15" s="738">
        <v>2.169889</v>
      </c>
      <c r="L15" s="148">
        <f t="shared" si="3"/>
        <v>215.77519800000002</v>
      </c>
      <c r="M15" s="249"/>
      <c r="N15" s="275"/>
      <c r="O15" s="249"/>
      <c r="P15" s="148">
        <f t="shared" si="4"/>
        <v>0</v>
      </c>
      <c r="Q15" s="166"/>
      <c r="R15" s="148"/>
      <c r="S15" s="166"/>
      <c r="T15" s="384">
        <f t="shared" si="5"/>
        <v>0</v>
      </c>
      <c r="U15" s="93">
        <f t="shared" si="6"/>
        <v>664.874376</v>
      </c>
      <c r="V15" s="564">
        <v>155.042279</v>
      </c>
      <c r="W15" s="348">
        <v>138.009399</v>
      </c>
      <c r="X15" s="521">
        <v>150.799073</v>
      </c>
      <c r="Y15" s="384">
        <f t="shared" si="7"/>
        <v>443.85075100000006</v>
      </c>
      <c r="Z15" s="117">
        <v>138.004329</v>
      </c>
      <c r="AA15" s="92">
        <v>139.247871</v>
      </c>
      <c r="AB15" s="738">
        <v>136.61006</v>
      </c>
      <c r="AC15" s="166">
        <f t="shared" si="8"/>
        <v>413.86226</v>
      </c>
      <c r="AD15" s="249">
        <v>139.479787</v>
      </c>
      <c r="AE15" s="249">
        <v>74.129236</v>
      </c>
      <c r="AF15" s="249">
        <v>105.091949</v>
      </c>
      <c r="AG15" s="166">
        <f t="shared" si="9"/>
        <v>318.700972</v>
      </c>
      <c r="AH15" s="166">
        <v>150.264071</v>
      </c>
      <c r="AI15" s="166">
        <v>118.623263</v>
      </c>
      <c r="AJ15" s="209">
        <v>149.29114</v>
      </c>
      <c r="AK15" s="416">
        <f t="shared" si="10"/>
        <v>418.17847400000005</v>
      </c>
      <c r="AL15" s="161">
        <f t="shared" si="11"/>
        <v>1594.592457</v>
      </c>
      <c r="AM15" s="119"/>
      <c r="AN15" s="272">
        <f t="shared" si="12"/>
        <v>0.9953539999999919</v>
      </c>
      <c r="AO15" s="332">
        <f t="shared" si="13"/>
        <v>0.641988757144091</v>
      </c>
      <c r="AP15" s="351">
        <f t="shared" si="33"/>
        <v>293.05167800000004</v>
      </c>
      <c r="AQ15" s="507">
        <f t="shared" si="14"/>
        <v>4.837924999999984</v>
      </c>
      <c r="AR15" s="373">
        <f t="shared" si="15"/>
        <v>3.5055039983182326</v>
      </c>
      <c r="AS15" s="372">
        <f t="shared" si="16"/>
        <v>371.82269799999995</v>
      </c>
      <c r="AT15" s="712">
        <f t="shared" si="17"/>
        <v>126.87956627226677</v>
      </c>
      <c r="AU15" s="557">
        <f t="shared" si="18"/>
        <v>581.85508</v>
      </c>
      <c r="AV15" s="742">
        <f t="shared" si="19"/>
        <v>1.8606709999999964</v>
      </c>
      <c r="AW15" s="709">
        <f t="shared" si="20"/>
        <v>1.3482700241961254</v>
      </c>
      <c r="AX15" s="742">
        <f t="shared" si="21"/>
        <v>83.01929599999994</v>
      </c>
      <c r="AY15" s="765">
        <f t="shared" si="22"/>
        <v>14.2680366389514</v>
      </c>
      <c r="AZ15" s="557">
        <f t="shared" si="23"/>
        <v>721.1029510000001</v>
      </c>
      <c r="BA15" s="795">
        <f t="shared" si="24"/>
        <v>-65.50756200000001</v>
      </c>
      <c r="BB15" s="453">
        <f t="shared" si="25"/>
        <v>-47.043851751241505</v>
      </c>
      <c r="BC15" s="453">
        <f t="shared" si="26"/>
        <v>-56.22857500000009</v>
      </c>
      <c r="BD15" s="765">
        <f t="shared" si="27"/>
        <v>-7.797579377816206</v>
      </c>
      <c r="BE15" s="89">
        <f t="shared" si="28"/>
        <v>857.713011</v>
      </c>
      <c r="BF15" s="967">
        <f t="shared" si="29"/>
        <v>-134.440171</v>
      </c>
      <c r="BG15" s="897">
        <f t="shared" si="30"/>
        <v>-98.41161844157011</v>
      </c>
      <c r="BH15" s="966">
        <f t="shared" si="31"/>
        <v>-192.83863500000007</v>
      </c>
      <c r="BI15" s="373">
        <f t="shared" si="32"/>
        <v>-22.4828855954011</v>
      </c>
    </row>
    <row r="16" spans="1:61" s="48" customFormat="1" ht="18.75" customHeight="1">
      <c r="A16" s="591"/>
      <c r="B16" s="638" t="s">
        <v>24</v>
      </c>
      <c r="C16" s="410"/>
      <c r="D16" s="639" t="s">
        <v>25</v>
      </c>
      <c r="E16" s="524">
        <f>E17+E20+E18</f>
        <v>158.989988</v>
      </c>
      <c r="F16" s="217">
        <f>F17+F20+F18</f>
        <v>154.713855</v>
      </c>
      <c r="G16" s="217">
        <f>G17+G20+G18</f>
        <v>183.852846</v>
      </c>
      <c r="H16" s="717">
        <f>H17+H20+H18</f>
        <v>497.556689</v>
      </c>
      <c r="I16" s="778">
        <f aca="true" t="shared" si="34" ref="I16:U16">I17++I20+I18</f>
        <v>250.139067</v>
      </c>
      <c r="J16" s="909">
        <f t="shared" si="34"/>
        <v>255.301073</v>
      </c>
      <c r="K16" s="524">
        <f t="shared" si="34"/>
        <v>246.15718199999998</v>
      </c>
      <c r="L16" s="217">
        <f t="shared" si="34"/>
        <v>751.597322</v>
      </c>
      <c r="M16" s="217">
        <f t="shared" si="34"/>
        <v>0</v>
      </c>
      <c r="N16" s="217">
        <f t="shared" si="34"/>
        <v>0</v>
      </c>
      <c r="O16" s="217">
        <f t="shared" si="34"/>
        <v>0</v>
      </c>
      <c r="P16" s="217">
        <f t="shared" si="34"/>
        <v>0</v>
      </c>
      <c r="Q16" s="217">
        <f t="shared" si="34"/>
        <v>0</v>
      </c>
      <c r="R16" s="217">
        <f t="shared" si="34"/>
        <v>0</v>
      </c>
      <c r="S16" s="217">
        <f t="shared" si="34"/>
        <v>0</v>
      </c>
      <c r="T16" s="717">
        <f t="shared" si="34"/>
        <v>0</v>
      </c>
      <c r="U16" s="726">
        <f t="shared" si="34"/>
        <v>1249.1540109999999</v>
      </c>
      <c r="V16" s="568">
        <f>V17+V20+V18+V19</f>
        <v>128.322404</v>
      </c>
      <c r="W16" s="217">
        <f>W17+W20+W18+W19</f>
        <v>118.534797</v>
      </c>
      <c r="X16" s="524">
        <f>X17+X20+X18+X19</f>
        <v>140.961373</v>
      </c>
      <c r="Y16" s="391">
        <f t="shared" si="7"/>
        <v>387.818574</v>
      </c>
      <c r="Z16" s="755">
        <f>Z17+Z20+Z18+Z19</f>
        <v>258.74255</v>
      </c>
      <c r="AA16" s="510">
        <f>AA17+AA20+AA18+AA19</f>
        <v>312.661293</v>
      </c>
      <c r="AB16" s="744">
        <f>AB17+AB20+AB18+AB19</f>
        <v>244.63183899999999</v>
      </c>
      <c r="AC16" s="162">
        <f t="shared" si="8"/>
        <v>816.0356820000001</v>
      </c>
      <c r="AD16" s="207">
        <f>AD17+AD20+AD18+AD19</f>
        <v>212.37819</v>
      </c>
      <c r="AE16" s="207">
        <f>AE17+AE20+AE18</f>
        <v>193.79442999999998</v>
      </c>
      <c r="AF16" s="207">
        <f>AF17+AF20+AF18</f>
        <v>156.10725200000002</v>
      </c>
      <c r="AG16" s="162">
        <f t="shared" si="9"/>
        <v>562.279872</v>
      </c>
      <c r="AH16" s="162">
        <f>AH17+AH20+AH18</f>
        <v>154.200786</v>
      </c>
      <c r="AI16" s="162">
        <f>AI17+AI20+AI18</f>
        <v>153.851606</v>
      </c>
      <c r="AJ16" s="162">
        <f>AJ17+AJ20+AJ18</f>
        <v>156.588466</v>
      </c>
      <c r="AK16" s="431">
        <f t="shared" si="10"/>
        <v>464.640858</v>
      </c>
      <c r="AL16" s="162">
        <f t="shared" si="11"/>
        <v>2230.7749860000004</v>
      </c>
      <c r="AM16" s="411"/>
      <c r="AN16" s="272">
        <f t="shared" si="12"/>
        <v>30.667584000000005</v>
      </c>
      <c r="AO16" s="332">
        <f t="shared" si="13"/>
        <v>23.898854014611516</v>
      </c>
      <c r="AP16" s="360">
        <f t="shared" si="33"/>
        <v>246.857201</v>
      </c>
      <c r="AQ16" s="507">
        <f t="shared" si="14"/>
        <v>36.179058</v>
      </c>
      <c r="AR16" s="373">
        <f t="shared" si="15"/>
        <v>30.521888015719128</v>
      </c>
      <c r="AS16" s="372">
        <f t="shared" si="16"/>
        <v>1002.2968099999998</v>
      </c>
      <c r="AT16" s="712">
        <f t="shared" si="17"/>
        <v>406.0229176786298</v>
      </c>
      <c r="AU16" s="557">
        <f t="shared" si="18"/>
        <v>646.5611240000001</v>
      </c>
      <c r="AV16" s="742">
        <f t="shared" si="19"/>
        <v>-8.603482999999983</v>
      </c>
      <c r="AW16" s="709">
        <f t="shared" si="20"/>
        <v>-3.325113322103377</v>
      </c>
      <c r="AX16" s="742">
        <f t="shared" si="21"/>
        <v>602.5928869999998</v>
      </c>
      <c r="AY16" s="765">
        <f t="shared" si="22"/>
        <v>93.19967821016095</v>
      </c>
      <c r="AZ16" s="557">
        <f t="shared" si="23"/>
        <v>959.2224170000001</v>
      </c>
      <c r="BA16" s="795">
        <f t="shared" si="24"/>
        <v>-57.36022</v>
      </c>
      <c r="BB16" s="453">
        <f t="shared" si="25"/>
        <v>-18.345801442073608</v>
      </c>
      <c r="BC16" s="453">
        <f t="shared" si="26"/>
        <v>289.9315939999998</v>
      </c>
      <c r="BD16" s="765">
        <f t="shared" si="27"/>
        <v>30.225689981972096</v>
      </c>
      <c r="BE16" s="89">
        <f t="shared" si="28"/>
        <v>1203.854256</v>
      </c>
      <c r="BF16" s="967">
        <f t="shared" si="29"/>
        <v>1.5253429999999923</v>
      </c>
      <c r="BG16" s="897">
        <f t="shared" si="30"/>
        <v>0.6235259507655542</v>
      </c>
      <c r="BH16" s="966">
        <f t="shared" si="31"/>
        <v>45.29975499999978</v>
      </c>
      <c r="BI16" s="373">
        <f t="shared" si="32"/>
        <v>3.762893620571276</v>
      </c>
    </row>
    <row r="17" spans="1:61" ht="15" customHeight="1">
      <c r="A17" s="407"/>
      <c r="B17" s="49"/>
      <c r="C17" s="199" t="s">
        <v>26</v>
      </c>
      <c r="D17" s="640" t="s">
        <v>3</v>
      </c>
      <c r="E17" s="606">
        <v>16.646681</v>
      </c>
      <c r="F17" s="351">
        <v>23.585735</v>
      </c>
      <c r="G17" s="225">
        <v>31.644806</v>
      </c>
      <c r="H17" s="166">
        <f t="shared" si="2"/>
        <v>71.877222</v>
      </c>
      <c r="I17" s="277">
        <v>50.538689</v>
      </c>
      <c r="J17" s="734">
        <v>44.907209</v>
      </c>
      <c r="K17" s="754">
        <v>48.560998</v>
      </c>
      <c r="L17" s="148">
        <f t="shared" si="3"/>
        <v>144.00689599999998</v>
      </c>
      <c r="M17" s="250"/>
      <c r="N17" s="277"/>
      <c r="O17" s="250"/>
      <c r="P17" s="148">
        <f t="shared" si="4"/>
        <v>0</v>
      </c>
      <c r="Q17" s="263"/>
      <c r="R17" s="297"/>
      <c r="S17" s="263"/>
      <c r="T17" s="384">
        <f t="shared" si="5"/>
        <v>0</v>
      </c>
      <c r="U17" s="93">
        <f t="shared" si="6"/>
        <v>215.884118</v>
      </c>
      <c r="V17" s="569">
        <v>18.101522</v>
      </c>
      <c r="W17" s="351">
        <v>14.819077</v>
      </c>
      <c r="X17" s="525">
        <v>21.975488</v>
      </c>
      <c r="Y17" s="384">
        <f t="shared" si="7"/>
        <v>54.896086999999994</v>
      </c>
      <c r="Z17" s="734">
        <v>49.82567</v>
      </c>
      <c r="AA17" s="926">
        <v>73.403006</v>
      </c>
      <c r="AB17" s="754">
        <v>81.434513</v>
      </c>
      <c r="AC17" s="166">
        <f t="shared" si="8"/>
        <v>204.663189</v>
      </c>
      <c r="AD17" s="250">
        <v>74.066388</v>
      </c>
      <c r="AE17" s="250">
        <v>71.175744</v>
      </c>
      <c r="AF17" s="250">
        <v>17.044759</v>
      </c>
      <c r="AG17" s="166">
        <f t="shared" si="9"/>
        <v>162.286891</v>
      </c>
      <c r="AH17" s="263">
        <v>5.806183</v>
      </c>
      <c r="AI17" s="263">
        <v>10.140358</v>
      </c>
      <c r="AJ17" s="120">
        <v>15.582189</v>
      </c>
      <c r="AK17" s="416">
        <f t="shared" si="10"/>
        <v>31.52873</v>
      </c>
      <c r="AL17" s="161">
        <f t="shared" si="11"/>
        <v>453.3748969999999</v>
      </c>
      <c r="AM17" s="119"/>
      <c r="AN17" s="272">
        <f t="shared" si="12"/>
        <v>-1.4548409999999983</v>
      </c>
      <c r="AO17" s="332">
        <f t="shared" si="13"/>
        <v>-8.037119751587724</v>
      </c>
      <c r="AP17" s="351">
        <f t="shared" si="33"/>
        <v>32.920598999999996</v>
      </c>
      <c r="AQ17" s="507">
        <f t="shared" si="14"/>
        <v>8.766658</v>
      </c>
      <c r="AR17" s="373">
        <f t="shared" si="15"/>
        <v>59.15792191376022</v>
      </c>
      <c r="AS17" s="372">
        <f t="shared" si="16"/>
        <v>182.96351900000002</v>
      </c>
      <c r="AT17" s="712">
        <f t="shared" si="17"/>
        <v>555.772144364688</v>
      </c>
      <c r="AU17" s="557">
        <f t="shared" si="18"/>
        <v>104.721757</v>
      </c>
      <c r="AV17" s="742">
        <f t="shared" si="19"/>
        <v>0.7130189999999956</v>
      </c>
      <c r="AW17" s="709">
        <f t="shared" si="20"/>
        <v>1.4310274202032645</v>
      </c>
      <c r="AX17" s="742">
        <f t="shared" si="21"/>
        <v>111.162361</v>
      </c>
      <c r="AY17" s="765">
        <f t="shared" si="22"/>
        <v>106.1502062078657</v>
      </c>
      <c r="AZ17" s="557">
        <f t="shared" si="23"/>
        <v>178.124763</v>
      </c>
      <c r="BA17" s="795">
        <f t="shared" si="24"/>
        <v>-28.495797000000003</v>
      </c>
      <c r="BB17" s="453">
        <f t="shared" si="25"/>
        <v>-38.82102185297425</v>
      </c>
      <c r="BC17" s="453">
        <f t="shared" si="26"/>
        <v>37.759355</v>
      </c>
      <c r="BD17" s="765">
        <f t="shared" si="27"/>
        <v>21.19826259081114</v>
      </c>
      <c r="BE17" s="89">
        <f t="shared" si="28"/>
        <v>259.559276</v>
      </c>
      <c r="BF17" s="967">
        <f t="shared" si="29"/>
        <v>-32.873515</v>
      </c>
      <c r="BG17" s="897">
        <f t="shared" si="30"/>
        <v>-40.36803781217431</v>
      </c>
      <c r="BH17" s="966">
        <f t="shared" si="31"/>
        <v>-43.67515800000001</v>
      </c>
      <c r="BI17" s="373">
        <f t="shared" si="32"/>
        <v>-16.826660434975167</v>
      </c>
    </row>
    <row r="18" spans="1:61" ht="17.25" customHeight="1">
      <c r="A18" s="406"/>
      <c r="B18" s="378"/>
      <c r="C18" s="198" t="s">
        <v>27</v>
      </c>
      <c r="D18" s="641" t="s">
        <v>145</v>
      </c>
      <c r="E18" s="589">
        <v>95.739631</v>
      </c>
      <c r="F18" s="348">
        <v>74.358001</v>
      </c>
      <c r="G18" s="222">
        <v>65.705295</v>
      </c>
      <c r="H18" s="166">
        <f t="shared" si="2"/>
        <v>235.802927</v>
      </c>
      <c r="I18" s="275">
        <v>77.667031</v>
      </c>
      <c r="J18" s="117">
        <v>57.681972</v>
      </c>
      <c r="K18" s="738">
        <v>59.950766</v>
      </c>
      <c r="L18" s="148">
        <f t="shared" si="3"/>
        <v>195.29976899999997</v>
      </c>
      <c r="M18" s="256"/>
      <c r="N18" s="275"/>
      <c r="O18" s="249"/>
      <c r="P18" s="148">
        <f t="shared" si="4"/>
        <v>0</v>
      </c>
      <c r="Q18" s="166"/>
      <c r="R18" s="148"/>
      <c r="S18" s="166"/>
      <c r="T18" s="384">
        <f t="shared" si="5"/>
        <v>0</v>
      </c>
      <c r="U18" s="93">
        <f t="shared" si="6"/>
        <v>431.102696</v>
      </c>
      <c r="V18" s="564">
        <v>65.862232</v>
      </c>
      <c r="W18" s="348">
        <v>65.024179</v>
      </c>
      <c r="X18" s="521">
        <v>57.503746</v>
      </c>
      <c r="Y18" s="122">
        <f t="shared" si="7"/>
        <v>188.39015700000002</v>
      </c>
      <c r="Z18" s="117">
        <v>92.623421</v>
      </c>
      <c r="AA18" s="92">
        <v>82.317026</v>
      </c>
      <c r="AB18" s="738">
        <v>46.222985</v>
      </c>
      <c r="AC18" s="249">
        <f t="shared" si="8"/>
        <v>221.163432</v>
      </c>
      <c r="AD18" s="250">
        <v>70.528941</v>
      </c>
      <c r="AE18" s="249">
        <v>74.103152</v>
      </c>
      <c r="AF18" s="249">
        <v>95.320328</v>
      </c>
      <c r="AG18" s="249">
        <f t="shared" si="9"/>
        <v>239.95242100000002</v>
      </c>
      <c r="AH18" s="249">
        <v>89.291477</v>
      </c>
      <c r="AI18" s="249">
        <v>84.105843</v>
      </c>
      <c r="AJ18" s="117">
        <v>92.994618</v>
      </c>
      <c r="AK18" s="421">
        <f t="shared" si="10"/>
        <v>266.391938</v>
      </c>
      <c r="AL18" s="112">
        <f t="shared" si="11"/>
        <v>915.897948</v>
      </c>
      <c r="AM18" s="376"/>
      <c r="AN18" s="403">
        <f t="shared" si="12"/>
        <v>29.877398999999997</v>
      </c>
      <c r="AO18" s="337">
        <v>0</v>
      </c>
      <c r="AP18" s="351">
        <f t="shared" si="33"/>
        <v>130.886411</v>
      </c>
      <c r="AQ18" s="507">
        <f t="shared" si="14"/>
        <v>9.333821999999998</v>
      </c>
      <c r="AR18" s="373">
        <f t="shared" si="15"/>
        <v>14.354386542888918</v>
      </c>
      <c r="AS18" s="372">
        <f t="shared" si="16"/>
        <v>300.21628499999997</v>
      </c>
      <c r="AT18" s="712">
        <f t="shared" si="17"/>
        <v>229.37162284937278</v>
      </c>
      <c r="AU18" s="557">
        <f t="shared" si="18"/>
        <v>281.013578</v>
      </c>
      <c r="AV18" s="742">
        <f t="shared" si="19"/>
        <v>-14.956389999999999</v>
      </c>
      <c r="AW18" s="709">
        <f t="shared" si="20"/>
        <v>-16.147524933245563</v>
      </c>
      <c r="AX18" s="742">
        <f t="shared" si="21"/>
        <v>150.08911799999998</v>
      </c>
      <c r="AY18" s="765">
        <f t="shared" si="22"/>
        <v>53.40991672651489</v>
      </c>
      <c r="AZ18" s="557">
        <f t="shared" si="23"/>
        <v>363.330604</v>
      </c>
      <c r="BA18" s="795">
        <f t="shared" si="24"/>
        <v>-24.635053999999997</v>
      </c>
      <c r="BB18" s="453">
        <f t="shared" si="25"/>
        <v>-29.927045712268566</v>
      </c>
      <c r="BC18" s="453">
        <f t="shared" si="26"/>
        <v>67.77209199999999</v>
      </c>
      <c r="BD18" s="765">
        <f t="shared" si="27"/>
        <v>18.65300947783632</v>
      </c>
      <c r="BE18" s="89">
        <f t="shared" si="28"/>
        <v>409.553589</v>
      </c>
      <c r="BF18" s="967">
        <f t="shared" si="29"/>
        <v>13.727781</v>
      </c>
      <c r="BG18" s="897">
        <f t="shared" si="30"/>
        <v>29.699036096435577</v>
      </c>
      <c r="BH18" s="966">
        <f t="shared" si="31"/>
        <v>21.549106999999992</v>
      </c>
      <c r="BI18" s="373">
        <f t="shared" si="32"/>
        <v>5.261608634077916</v>
      </c>
    </row>
    <row r="19" spans="1:61" s="48" customFormat="1" ht="17.25" customHeight="1">
      <c r="A19" s="591"/>
      <c r="B19" s="642"/>
      <c r="C19" s="450" t="s">
        <v>122</v>
      </c>
      <c r="D19" s="643" t="s">
        <v>150</v>
      </c>
      <c r="E19" s="607">
        <v>0</v>
      </c>
      <c r="F19" s="454">
        <v>0</v>
      </c>
      <c r="G19" s="458">
        <v>0</v>
      </c>
      <c r="H19" s="260">
        <f t="shared" si="2"/>
        <v>0</v>
      </c>
      <c r="I19" s="457">
        <v>0</v>
      </c>
      <c r="J19" s="944">
        <v>0</v>
      </c>
      <c r="K19" s="744">
        <v>0</v>
      </c>
      <c r="L19" s="457">
        <f t="shared" si="3"/>
        <v>0</v>
      </c>
      <c r="M19" s="260"/>
      <c r="N19" s="457"/>
      <c r="O19" s="260"/>
      <c r="P19" s="457"/>
      <c r="Q19" s="260"/>
      <c r="R19" s="457"/>
      <c r="S19" s="260"/>
      <c r="T19" s="459"/>
      <c r="U19" s="326">
        <v>0</v>
      </c>
      <c r="V19" s="570">
        <v>3.488028</v>
      </c>
      <c r="W19" s="360">
        <v>3.08856</v>
      </c>
      <c r="X19" s="526">
        <v>7.732824</v>
      </c>
      <c r="Y19" s="107">
        <f t="shared" si="7"/>
        <v>14.309412</v>
      </c>
      <c r="Z19" s="755">
        <v>16.144764</v>
      </c>
      <c r="AA19" s="510">
        <v>18.414696</v>
      </c>
      <c r="AB19" s="744">
        <v>12.221736</v>
      </c>
      <c r="AC19" s="207">
        <f t="shared" si="8"/>
        <v>46.781196</v>
      </c>
      <c r="AD19" s="207">
        <v>6.413436</v>
      </c>
      <c r="AE19" s="260">
        <v>0</v>
      </c>
      <c r="AF19" s="260">
        <v>0</v>
      </c>
      <c r="AG19" s="207">
        <f t="shared" si="9"/>
        <v>6.413436</v>
      </c>
      <c r="AH19" s="260">
        <v>0</v>
      </c>
      <c r="AI19" s="260">
        <v>0</v>
      </c>
      <c r="AJ19" s="260">
        <v>0</v>
      </c>
      <c r="AK19" s="260">
        <v>0</v>
      </c>
      <c r="AL19" s="207">
        <f t="shared" si="11"/>
        <v>67.50404400000001</v>
      </c>
      <c r="AM19" s="153"/>
      <c r="AN19" s="403">
        <f t="shared" si="12"/>
        <v>-3.488028</v>
      </c>
      <c r="AO19" s="337"/>
      <c r="AP19" s="360">
        <f t="shared" si="33"/>
        <v>6.576588</v>
      </c>
      <c r="AQ19" s="507">
        <f t="shared" si="14"/>
        <v>-3.08856</v>
      </c>
      <c r="AR19" s="373"/>
      <c r="AS19" s="372">
        <f t="shared" si="16"/>
        <v>-6.576588</v>
      </c>
      <c r="AT19" s="712"/>
      <c r="AU19" s="557">
        <f t="shared" si="18"/>
        <v>30.454175999999997</v>
      </c>
      <c r="AV19" s="742">
        <f t="shared" si="19"/>
        <v>-16.144764</v>
      </c>
      <c r="AW19" s="709">
        <f t="shared" si="20"/>
        <v>-100</v>
      </c>
      <c r="AX19" s="742">
        <f t="shared" si="21"/>
        <v>-30.454175999999997</v>
      </c>
      <c r="AY19" s="765">
        <f t="shared" si="22"/>
        <v>-100</v>
      </c>
      <c r="AZ19" s="557">
        <f t="shared" si="23"/>
        <v>48.868871999999996</v>
      </c>
      <c r="BA19" s="795">
        <f t="shared" si="24"/>
        <v>-18.414696</v>
      </c>
      <c r="BB19" s="453">
        <f t="shared" si="25"/>
        <v>-100</v>
      </c>
      <c r="BC19" s="453">
        <f t="shared" si="26"/>
        <v>-48.868871999999996</v>
      </c>
      <c r="BD19" s="765">
        <f t="shared" si="27"/>
        <v>-100</v>
      </c>
      <c r="BE19" s="89">
        <f t="shared" si="28"/>
        <v>61.090607999999996</v>
      </c>
      <c r="BF19" s="967">
        <f t="shared" si="29"/>
        <v>-12.221736</v>
      </c>
      <c r="BG19" s="897">
        <f t="shared" si="30"/>
        <v>-100</v>
      </c>
      <c r="BH19" s="966">
        <f t="shared" si="31"/>
        <v>-61.090607999999996</v>
      </c>
      <c r="BI19" s="373">
        <f t="shared" si="32"/>
        <v>-100</v>
      </c>
    </row>
    <row r="20" spans="1:61" ht="19.5" customHeight="1">
      <c r="A20" s="407"/>
      <c r="B20" s="265"/>
      <c r="C20" s="199" t="s">
        <v>28</v>
      </c>
      <c r="D20" s="640" t="s">
        <v>37</v>
      </c>
      <c r="E20" s="608">
        <v>46.603676</v>
      </c>
      <c r="F20" s="348">
        <v>56.770119</v>
      </c>
      <c r="G20" s="222">
        <v>86.502745</v>
      </c>
      <c r="H20" s="166">
        <f t="shared" si="2"/>
        <v>189.87654</v>
      </c>
      <c r="I20" s="275">
        <v>121.933347</v>
      </c>
      <c r="J20" s="117">
        <v>152.711892</v>
      </c>
      <c r="K20" s="738">
        <v>137.645418</v>
      </c>
      <c r="L20" s="148">
        <f t="shared" si="3"/>
        <v>412.290657</v>
      </c>
      <c r="M20" s="249"/>
      <c r="N20" s="275"/>
      <c r="O20" s="249"/>
      <c r="P20" s="148">
        <f t="shared" si="4"/>
        <v>0</v>
      </c>
      <c r="Q20" s="166"/>
      <c r="R20" s="148"/>
      <c r="S20" s="166"/>
      <c r="T20" s="384">
        <f t="shared" si="5"/>
        <v>0</v>
      </c>
      <c r="U20" s="93">
        <f t="shared" si="6"/>
        <v>602.167197</v>
      </c>
      <c r="V20" s="571">
        <f>40.870622</f>
        <v>40.870622</v>
      </c>
      <c r="W20" s="348">
        <f>35.602981</f>
        <v>35.602981</v>
      </c>
      <c r="X20" s="521">
        <f>53.749315</f>
        <v>53.749315</v>
      </c>
      <c r="Y20" s="384">
        <f t="shared" si="7"/>
        <v>130.222918</v>
      </c>
      <c r="Z20" s="117">
        <f>100.148695</f>
        <v>100.148695</v>
      </c>
      <c r="AA20" s="92">
        <f>138.526565</f>
        <v>138.526565</v>
      </c>
      <c r="AB20" s="738">
        <f>104.752605</f>
        <v>104.752605</v>
      </c>
      <c r="AC20" s="166">
        <f t="shared" si="8"/>
        <v>343.427865</v>
      </c>
      <c r="AD20" s="249">
        <f>61.369425</f>
        <v>61.369425</v>
      </c>
      <c r="AE20" s="249">
        <v>48.515534</v>
      </c>
      <c r="AF20" s="249">
        <f>39.878417+3.863748</f>
        <v>43.742165</v>
      </c>
      <c r="AG20" s="166">
        <f t="shared" si="9"/>
        <v>153.627124</v>
      </c>
      <c r="AH20" s="166">
        <v>59.103126</v>
      </c>
      <c r="AI20" s="166">
        <v>59.605405</v>
      </c>
      <c r="AJ20" s="209">
        <v>48.011659</v>
      </c>
      <c r="AK20" s="416">
        <f t="shared" si="10"/>
        <v>166.72019</v>
      </c>
      <c r="AL20" s="161">
        <f t="shared" si="11"/>
        <v>793.998097</v>
      </c>
      <c r="AM20" s="119"/>
      <c r="AN20" s="272">
        <f t="shared" si="12"/>
        <v>5.733054000000003</v>
      </c>
      <c r="AO20" s="332">
        <f t="shared" si="13"/>
        <v>14.027322608400738</v>
      </c>
      <c r="AP20" s="351">
        <f t="shared" si="33"/>
        <v>76.473603</v>
      </c>
      <c r="AQ20" s="507">
        <f t="shared" si="14"/>
        <v>21.167138</v>
      </c>
      <c r="AR20" s="373">
        <f t="shared" si="15"/>
        <v>59.45327443227296</v>
      </c>
      <c r="AS20" s="372">
        <f t="shared" si="16"/>
        <v>525.693594</v>
      </c>
      <c r="AT20" s="712">
        <f t="shared" si="17"/>
        <v>687.4183684009239</v>
      </c>
      <c r="AU20" s="557">
        <f t="shared" si="18"/>
        <v>230.371613</v>
      </c>
      <c r="AV20" s="742">
        <f t="shared" si="19"/>
        <v>21.784651999999994</v>
      </c>
      <c r="AW20" s="709">
        <f t="shared" si="20"/>
        <v>21.7523074065019</v>
      </c>
      <c r="AX20" s="742">
        <f t="shared" si="21"/>
        <v>371.79558399999996</v>
      </c>
      <c r="AY20" s="765">
        <f t="shared" si="22"/>
        <v>161.38949550177432</v>
      </c>
      <c r="AZ20" s="557">
        <f t="shared" si="23"/>
        <v>368.89817800000003</v>
      </c>
      <c r="BA20" s="795">
        <f t="shared" si="24"/>
        <v>14.185327000000001</v>
      </c>
      <c r="BB20" s="453">
        <f t="shared" si="25"/>
        <v>10.240149245020262</v>
      </c>
      <c r="BC20" s="453">
        <f t="shared" si="26"/>
        <v>233.26901899999996</v>
      </c>
      <c r="BD20" s="765">
        <f t="shared" si="27"/>
        <v>63.23398512420951</v>
      </c>
      <c r="BE20" s="89">
        <f t="shared" si="28"/>
        <v>473.65078300000005</v>
      </c>
      <c r="BF20" s="967">
        <f t="shared" si="29"/>
        <v>32.892813000000004</v>
      </c>
      <c r="BG20" s="897">
        <f t="shared" si="30"/>
        <v>31.400472570586658</v>
      </c>
      <c r="BH20" s="966">
        <f t="shared" si="31"/>
        <v>128.51641399999994</v>
      </c>
      <c r="BI20" s="373">
        <f t="shared" si="32"/>
        <v>27.13315772139238</v>
      </c>
    </row>
    <row r="21" spans="1:61" s="65" customFormat="1" ht="17.25" customHeight="1">
      <c r="A21" s="592">
        <v>2</v>
      </c>
      <c r="B21" s="1051" t="s">
        <v>4</v>
      </c>
      <c r="C21" s="1052"/>
      <c r="D21" s="1053"/>
      <c r="E21" s="527">
        <f aca="true" t="shared" si="35" ref="E21:U21">E22+E23+E25+E27+E30+E26+E24+E28</f>
        <v>32.380398</v>
      </c>
      <c r="F21" s="213">
        <f t="shared" si="35"/>
        <v>30.158074000000003</v>
      </c>
      <c r="G21" s="213">
        <f t="shared" si="35"/>
        <v>26.773039999999998</v>
      </c>
      <c r="H21" s="725">
        <f t="shared" si="35"/>
        <v>89.311512</v>
      </c>
      <c r="I21" s="514">
        <f t="shared" si="35"/>
        <v>25.922467</v>
      </c>
      <c r="J21" s="910">
        <f t="shared" si="35"/>
        <v>23.127395</v>
      </c>
      <c r="K21" s="527">
        <f t="shared" si="35"/>
        <v>22.464077000000003</v>
      </c>
      <c r="L21" s="213">
        <f t="shared" si="35"/>
        <v>71.51393900000001</v>
      </c>
      <c r="M21" s="213">
        <f t="shared" si="35"/>
        <v>0</v>
      </c>
      <c r="N21" s="213">
        <f t="shared" si="35"/>
        <v>0</v>
      </c>
      <c r="O21" s="213">
        <f t="shared" si="35"/>
        <v>0</v>
      </c>
      <c r="P21" s="213">
        <f t="shared" si="35"/>
        <v>0</v>
      </c>
      <c r="Q21" s="213">
        <f t="shared" si="35"/>
        <v>0</v>
      </c>
      <c r="R21" s="213">
        <f t="shared" si="35"/>
        <v>0</v>
      </c>
      <c r="S21" s="213">
        <f t="shared" si="35"/>
        <v>0</v>
      </c>
      <c r="T21" s="725">
        <f t="shared" si="35"/>
        <v>0</v>
      </c>
      <c r="U21" s="727">
        <f t="shared" si="35"/>
        <v>160.825451</v>
      </c>
      <c r="V21" s="572">
        <f aca="true" t="shared" si="36" ref="V21:AD21">V22+V23+V25+V27+V30+V26+V24+V28+V29</f>
        <v>32.654996</v>
      </c>
      <c r="W21" s="213">
        <f t="shared" si="36"/>
        <v>29.476145</v>
      </c>
      <c r="X21" s="527">
        <f t="shared" si="36"/>
        <v>29.506922</v>
      </c>
      <c r="Y21" s="725">
        <f t="shared" si="36"/>
        <v>91.63806300000002</v>
      </c>
      <c r="Z21" s="731">
        <f t="shared" si="36"/>
        <v>25.591293000000004</v>
      </c>
      <c r="AA21" s="514">
        <f t="shared" si="36"/>
        <v>25.600770000000004</v>
      </c>
      <c r="AB21" s="527">
        <f t="shared" si="36"/>
        <v>25.829957000000004</v>
      </c>
      <c r="AC21" s="213">
        <f t="shared" si="36"/>
        <v>77.02202</v>
      </c>
      <c r="AD21" s="213">
        <f t="shared" si="36"/>
        <v>26.350509</v>
      </c>
      <c r="AE21" s="213">
        <f>AE22+AE23+AE25+AE27+AE30+AE26+AE24+AE28</f>
        <v>28.610891</v>
      </c>
      <c r="AF21" s="213">
        <f>AF22+AF23+AF25+AF27+AF30+AF26+AF24+AF28</f>
        <v>22.987859000000004</v>
      </c>
      <c r="AG21" s="164">
        <f>AG22+AG23+AG25+AG27++AG30+AG26+AG24+AG28</f>
        <v>77.930876</v>
      </c>
      <c r="AH21" s="164">
        <f>AH22+AH23+AH25+AH27+AH30+AH26+AH24+AH28</f>
        <v>22.414257000000003</v>
      </c>
      <c r="AI21" s="164">
        <f>AI22+AI23+AI25+AI27+AI30+AI26+AI24+AI28</f>
        <v>31.040435000000006</v>
      </c>
      <c r="AJ21" s="158">
        <f>AJ22+AJ23+AJ25+AJ27+AJ30+AJ26+AJ24+AJ28</f>
        <v>33.108639</v>
      </c>
      <c r="AK21" s="419">
        <f>AK22+AK23+AK25+AK27+AK30+AK26+AK24+AK28+AK29</f>
        <v>86.563331</v>
      </c>
      <c r="AL21" s="164">
        <f>AL22+AL23+AL25+AL27++AL30+AL26+AL24+AL28+AL29</f>
        <v>333.172673</v>
      </c>
      <c r="AM21" s="128"/>
      <c r="AN21" s="271">
        <f t="shared" si="12"/>
        <v>-0.27459799999999746</v>
      </c>
      <c r="AO21" s="334">
        <f t="shared" si="13"/>
        <v>-0.8409065491846803</v>
      </c>
      <c r="AP21" s="555">
        <f t="shared" si="33"/>
        <v>62.131141</v>
      </c>
      <c r="AQ21" s="508">
        <f t="shared" si="14"/>
        <v>0.6819290000000038</v>
      </c>
      <c r="AR21" s="375">
        <f t="shared" si="15"/>
        <v>2.3134945224350076</v>
      </c>
      <c r="AS21" s="374">
        <f t="shared" si="16"/>
        <v>98.69430999999999</v>
      </c>
      <c r="AT21" s="825">
        <f t="shared" si="17"/>
        <v>158.84837846451262</v>
      </c>
      <c r="AU21" s="559">
        <f t="shared" si="18"/>
        <v>117.22935600000002</v>
      </c>
      <c r="AV21" s="801">
        <f t="shared" si="19"/>
        <v>0.3311739999999972</v>
      </c>
      <c r="AW21" s="797">
        <f t="shared" si="20"/>
        <v>1.2940885792679353</v>
      </c>
      <c r="AX21" s="801">
        <f t="shared" si="21"/>
        <v>43.59609499999996</v>
      </c>
      <c r="AY21" s="892">
        <f t="shared" si="22"/>
        <v>37.18871832751515</v>
      </c>
      <c r="AZ21" s="559">
        <f t="shared" si="23"/>
        <v>142.83012600000004</v>
      </c>
      <c r="BA21" s="796">
        <f t="shared" si="24"/>
        <v>-2.4733750000000043</v>
      </c>
      <c r="BB21" s="516">
        <f t="shared" si="25"/>
        <v>-9.6613304990436</v>
      </c>
      <c r="BC21" s="516">
        <f t="shared" si="26"/>
        <v>17.99532499999995</v>
      </c>
      <c r="BD21" s="892">
        <f t="shared" si="27"/>
        <v>12.599110218526263</v>
      </c>
      <c r="BE21" s="968">
        <f t="shared" si="28"/>
        <v>168.66008300000004</v>
      </c>
      <c r="BF21" s="969">
        <f t="shared" si="29"/>
        <v>-3.3658800000000006</v>
      </c>
      <c r="BG21" s="896">
        <f t="shared" si="30"/>
        <v>-13.030916001912047</v>
      </c>
      <c r="BH21" s="970">
        <f t="shared" si="31"/>
        <v>-7.834632000000056</v>
      </c>
      <c r="BI21" s="375">
        <f t="shared" si="32"/>
        <v>-4.645220054824733</v>
      </c>
    </row>
    <row r="22" spans="1:61" ht="14.25" customHeight="1">
      <c r="A22" s="406"/>
      <c r="B22" s="447" t="s">
        <v>29</v>
      </c>
      <c r="C22" s="177"/>
      <c r="D22" s="644" t="s">
        <v>14</v>
      </c>
      <c r="E22" s="604">
        <v>20.427442</v>
      </c>
      <c r="F22" s="348">
        <v>19.141978</v>
      </c>
      <c r="G22" s="222">
        <v>20.339463</v>
      </c>
      <c r="H22" s="166">
        <f aca="true" t="shared" si="37" ref="H22:H30">E22+F22+G22</f>
        <v>59.908883</v>
      </c>
      <c r="I22" s="275">
        <v>19.508409</v>
      </c>
      <c r="J22" s="117">
        <v>17.550933</v>
      </c>
      <c r="K22" s="738">
        <v>19.475097</v>
      </c>
      <c r="L22" s="148">
        <f aca="true" t="shared" si="38" ref="L22:L38">I22+J22+K22</f>
        <v>56.534439000000006</v>
      </c>
      <c r="M22" s="249"/>
      <c r="N22" s="275"/>
      <c r="O22" s="249"/>
      <c r="P22" s="148">
        <f aca="true" t="shared" si="39" ref="P22:P38">M22+N22+O22</f>
        <v>0</v>
      </c>
      <c r="Q22" s="166"/>
      <c r="R22" s="148"/>
      <c r="S22" s="166"/>
      <c r="T22" s="384">
        <f aca="true" t="shared" si="40" ref="T22:T38">Q22+R22+S22</f>
        <v>0</v>
      </c>
      <c r="U22" s="93">
        <f aca="true" t="shared" si="41" ref="U22:U28">(H22+L22+P22+T22)</f>
        <v>116.44332200000001</v>
      </c>
      <c r="V22" s="565">
        <v>20.467984</v>
      </c>
      <c r="W22" s="348">
        <v>18.496114</v>
      </c>
      <c r="X22" s="521">
        <v>20.381243</v>
      </c>
      <c r="Y22" s="384">
        <f aca="true" t="shared" si="42" ref="Y22:Y30">V22+W22+X22</f>
        <v>59.345341000000005</v>
      </c>
      <c r="Z22" s="117">
        <v>19.333571</v>
      </c>
      <c r="AA22" s="92">
        <v>17.866682</v>
      </c>
      <c r="AB22" s="738">
        <v>19.614246</v>
      </c>
      <c r="AC22" s="166">
        <f aca="true" t="shared" si="43" ref="AC22:AC39">Z22+AA22+AB22</f>
        <v>56.814499000000005</v>
      </c>
      <c r="AD22" s="249">
        <v>19.547323</v>
      </c>
      <c r="AE22" s="249">
        <v>20.208429</v>
      </c>
      <c r="AF22" s="249">
        <v>11.298908</v>
      </c>
      <c r="AG22" s="166">
        <f aca="true" t="shared" si="44" ref="AG22:AG39">AD22+AE22+AF22</f>
        <v>51.05466</v>
      </c>
      <c r="AH22" s="166">
        <v>4.681497</v>
      </c>
      <c r="AI22" s="166">
        <v>19.561267</v>
      </c>
      <c r="AJ22" s="209">
        <v>20.334637</v>
      </c>
      <c r="AK22" s="416">
        <f aca="true" t="shared" si="45" ref="AK22:AK31">AH22+AI22+AJ22</f>
        <v>44.577401</v>
      </c>
      <c r="AL22" s="161">
        <f aca="true" t="shared" si="46" ref="AL22:AL29">(Y22+AC22+AG22+AK22)</f>
        <v>211.791901</v>
      </c>
      <c r="AM22" s="125"/>
      <c r="AN22" s="272">
        <f t="shared" si="12"/>
        <v>-0.040542000000002076</v>
      </c>
      <c r="AO22" s="332">
        <f t="shared" si="13"/>
        <v>-0.19807519880805557</v>
      </c>
      <c r="AP22" s="351">
        <f t="shared" si="33"/>
        <v>38.964098</v>
      </c>
      <c r="AQ22" s="507">
        <f t="shared" si="14"/>
        <v>0.6458640000000031</v>
      </c>
      <c r="AR22" s="373">
        <f t="shared" si="15"/>
        <v>3.49189024245851</v>
      </c>
      <c r="AS22" s="372">
        <f t="shared" si="16"/>
        <v>77.47922400000002</v>
      </c>
      <c r="AT22" s="712">
        <f t="shared" si="17"/>
        <v>198.8477290042747</v>
      </c>
      <c r="AU22" s="557">
        <f t="shared" si="18"/>
        <v>78.678912</v>
      </c>
      <c r="AV22" s="742">
        <f t="shared" si="19"/>
        <v>0.17483800000000116</v>
      </c>
      <c r="AW22" s="709">
        <f t="shared" si="20"/>
        <v>0.9043233658179446</v>
      </c>
      <c r="AX22" s="742">
        <f t="shared" si="21"/>
        <v>37.76441000000001</v>
      </c>
      <c r="AY22" s="765">
        <f t="shared" si="22"/>
        <v>47.99813449377643</v>
      </c>
      <c r="AZ22" s="557">
        <f t="shared" si="23"/>
        <v>96.545594</v>
      </c>
      <c r="BA22" s="795">
        <f t="shared" si="24"/>
        <v>-0.3157490000000003</v>
      </c>
      <c r="BB22" s="453">
        <f t="shared" si="25"/>
        <v>-1.7672503490015714</v>
      </c>
      <c r="BC22" s="453">
        <f t="shared" si="26"/>
        <v>19.897728000000015</v>
      </c>
      <c r="BD22" s="765">
        <f t="shared" si="27"/>
        <v>20.609669665505407</v>
      </c>
      <c r="BE22" s="89">
        <f t="shared" si="28"/>
        <v>116.15984</v>
      </c>
      <c r="BF22" s="967">
        <f t="shared" si="29"/>
        <v>-0.13914899999999975</v>
      </c>
      <c r="BG22" s="897">
        <f t="shared" si="30"/>
        <v>-0.7094282390462467</v>
      </c>
      <c r="BH22" s="966">
        <f t="shared" si="31"/>
        <v>0.28348200000000645</v>
      </c>
      <c r="BI22" s="373">
        <f t="shared" si="32"/>
        <v>0.2440447576374254</v>
      </c>
    </row>
    <row r="23" spans="1:61" ht="17.25" customHeight="1">
      <c r="A23" s="407"/>
      <c r="B23" s="448" t="s">
        <v>30</v>
      </c>
      <c r="C23" s="176"/>
      <c r="D23" s="640" t="s">
        <v>15</v>
      </c>
      <c r="E23" s="589">
        <v>6.058644</v>
      </c>
      <c r="F23" s="348">
        <v>5.290034</v>
      </c>
      <c r="G23" s="222">
        <v>0</v>
      </c>
      <c r="H23" s="166">
        <f t="shared" si="37"/>
        <v>11.348678</v>
      </c>
      <c r="I23" s="276">
        <v>0</v>
      </c>
      <c r="J23" s="123">
        <v>0</v>
      </c>
      <c r="K23" s="738">
        <v>0</v>
      </c>
      <c r="L23" s="148">
        <f t="shared" si="38"/>
        <v>0</v>
      </c>
      <c r="M23" s="249"/>
      <c r="N23" s="275"/>
      <c r="O23" s="249"/>
      <c r="P23" s="148">
        <f t="shared" si="39"/>
        <v>0</v>
      </c>
      <c r="Q23" s="166"/>
      <c r="R23" s="148"/>
      <c r="S23" s="166"/>
      <c r="T23" s="384">
        <f t="shared" si="40"/>
        <v>0</v>
      </c>
      <c r="U23" s="93">
        <f t="shared" si="41"/>
        <v>11.348678</v>
      </c>
      <c r="V23" s="564">
        <v>6.085722</v>
      </c>
      <c r="W23" s="348">
        <v>5.504323</v>
      </c>
      <c r="X23" s="521">
        <v>3.104186</v>
      </c>
      <c r="Y23" s="384">
        <f t="shared" si="42"/>
        <v>14.694231</v>
      </c>
      <c r="Z23" s="123">
        <v>0</v>
      </c>
      <c r="AA23" s="92">
        <v>0.932818</v>
      </c>
      <c r="AB23" s="286">
        <v>0</v>
      </c>
      <c r="AC23" s="166">
        <f t="shared" si="43"/>
        <v>0.932818</v>
      </c>
      <c r="AD23" s="249">
        <v>1.042186</v>
      </c>
      <c r="AE23" s="249">
        <v>1.576882</v>
      </c>
      <c r="AF23" s="249">
        <v>1.052239</v>
      </c>
      <c r="AG23" s="166">
        <f t="shared" si="44"/>
        <v>3.6713069999999997</v>
      </c>
      <c r="AH23" s="166">
        <v>6.336789</v>
      </c>
      <c r="AI23" s="166">
        <v>4.752009</v>
      </c>
      <c r="AJ23" s="209">
        <v>4.586057</v>
      </c>
      <c r="AK23" s="416">
        <f t="shared" si="45"/>
        <v>15.674855</v>
      </c>
      <c r="AL23" s="161">
        <f t="shared" si="46"/>
        <v>34.973211</v>
      </c>
      <c r="AM23" s="119"/>
      <c r="AN23" s="272">
        <f t="shared" si="12"/>
        <v>-0.02707799999999949</v>
      </c>
      <c r="AO23" s="332">
        <f t="shared" si="13"/>
        <v>-0.4449430979594524</v>
      </c>
      <c r="AP23" s="351">
        <f t="shared" si="33"/>
        <v>11.590045</v>
      </c>
      <c r="AQ23" s="507">
        <f t="shared" si="14"/>
        <v>-0.21428899999999995</v>
      </c>
      <c r="AR23" s="373">
        <f t="shared" si="15"/>
        <v>-3.8931036568893234</v>
      </c>
      <c r="AS23" s="372">
        <f t="shared" si="16"/>
        <v>-0.24136700000000033</v>
      </c>
      <c r="AT23" s="712">
        <f t="shared" si="17"/>
        <v>-2.0825372118917613</v>
      </c>
      <c r="AU23" s="557">
        <f t="shared" si="18"/>
        <v>14.694231</v>
      </c>
      <c r="AV23" s="759">
        <f t="shared" si="19"/>
        <v>0</v>
      </c>
      <c r="AW23" s="760">
        <v>0</v>
      </c>
      <c r="AX23" s="742">
        <f t="shared" si="21"/>
        <v>-3.3455530000000007</v>
      </c>
      <c r="AY23" s="765">
        <f t="shared" si="22"/>
        <v>-22.767799145120293</v>
      </c>
      <c r="AZ23" s="557">
        <f t="shared" si="23"/>
        <v>15.627049</v>
      </c>
      <c r="BA23" s="795">
        <f t="shared" si="24"/>
        <v>-0.932818</v>
      </c>
      <c r="BB23" s="453">
        <f t="shared" si="25"/>
        <v>-100</v>
      </c>
      <c r="BC23" s="453">
        <f t="shared" si="26"/>
        <v>-4.278371</v>
      </c>
      <c r="BD23" s="765">
        <f t="shared" si="27"/>
        <v>-27.377984160669115</v>
      </c>
      <c r="BE23" s="89">
        <f t="shared" si="28"/>
        <v>15.627049</v>
      </c>
      <c r="BF23" s="974">
        <f t="shared" si="29"/>
        <v>0</v>
      </c>
      <c r="BG23" s="974">
        <v>0</v>
      </c>
      <c r="BH23" s="966">
        <f t="shared" si="31"/>
        <v>-4.278371</v>
      </c>
      <c r="BI23" s="373">
        <f t="shared" si="32"/>
        <v>-27.377984160669115</v>
      </c>
    </row>
    <row r="24" spans="1:61" ht="16.5" customHeight="1">
      <c r="A24" s="407"/>
      <c r="B24" s="448" t="s">
        <v>31</v>
      </c>
      <c r="C24" s="176"/>
      <c r="D24" s="634" t="s">
        <v>110</v>
      </c>
      <c r="E24" s="589">
        <v>0.062665</v>
      </c>
      <c r="F24" s="348">
        <v>0.182549</v>
      </c>
      <c r="G24" s="224">
        <v>0.29103</v>
      </c>
      <c r="H24" s="166">
        <f t="shared" si="37"/>
        <v>0.5362439999999999</v>
      </c>
      <c r="I24" s="276">
        <v>0</v>
      </c>
      <c r="J24" s="123">
        <v>0</v>
      </c>
      <c r="K24" s="738">
        <v>0.027711</v>
      </c>
      <c r="L24" s="148">
        <f t="shared" si="38"/>
        <v>0.027711</v>
      </c>
      <c r="M24" s="249"/>
      <c r="N24" s="275"/>
      <c r="O24" s="249"/>
      <c r="P24" s="148">
        <f t="shared" si="39"/>
        <v>0</v>
      </c>
      <c r="Q24" s="166"/>
      <c r="R24" s="148"/>
      <c r="S24" s="166"/>
      <c r="T24" s="386">
        <f t="shared" si="40"/>
        <v>0</v>
      </c>
      <c r="U24" s="93">
        <f t="shared" si="41"/>
        <v>0.563955</v>
      </c>
      <c r="V24" s="564">
        <v>0.060201</v>
      </c>
      <c r="W24" s="348">
        <v>0.056186</v>
      </c>
      <c r="X24" s="523">
        <v>0</v>
      </c>
      <c r="Y24" s="384">
        <f t="shared" si="42"/>
        <v>0.11638699999999999</v>
      </c>
      <c r="Z24" s="123">
        <v>0</v>
      </c>
      <c r="AA24" s="928">
        <v>0</v>
      </c>
      <c r="AB24" s="286">
        <v>0</v>
      </c>
      <c r="AC24" s="166">
        <f t="shared" si="43"/>
        <v>0</v>
      </c>
      <c r="AD24" s="249">
        <v>0.047411</v>
      </c>
      <c r="AE24" s="249">
        <v>3.207873</v>
      </c>
      <c r="AF24" s="249">
        <v>6.384446</v>
      </c>
      <c r="AG24" s="166">
        <f t="shared" si="44"/>
        <v>9.63973</v>
      </c>
      <c r="AH24" s="166">
        <v>5.917582</v>
      </c>
      <c r="AI24" s="166">
        <v>1.880262</v>
      </c>
      <c r="AJ24" s="209">
        <v>2.488714</v>
      </c>
      <c r="AK24" s="416">
        <f t="shared" si="45"/>
        <v>10.286558</v>
      </c>
      <c r="AL24" s="161">
        <f t="shared" si="46"/>
        <v>20.042675</v>
      </c>
      <c r="AM24" s="119"/>
      <c r="AN24" s="272">
        <f t="shared" si="12"/>
        <v>0.002464000000000001</v>
      </c>
      <c r="AO24" s="332">
        <f t="shared" si="13"/>
        <v>4.0929552665238305</v>
      </c>
      <c r="AP24" s="351">
        <f t="shared" si="33"/>
        <v>0.11638699999999999</v>
      </c>
      <c r="AQ24" s="507">
        <f t="shared" si="14"/>
        <v>0.126363</v>
      </c>
      <c r="AR24" s="373"/>
      <c r="AS24" s="372">
        <f t="shared" si="16"/>
        <v>0.44756799999999997</v>
      </c>
      <c r="AT24" s="712">
        <f t="shared" si="17"/>
        <v>384.5515392612577</v>
      </c>
      <c r="AU24" s="557">
        <f t="shared" si="18"/>
        <v>0.11638699999999999</v>
      </c>
      <c r="AV24" s="759">
        <f t="shared" si="19"/>
        <v>0</v>
      </c>
      <c r="AW24" s="760">
        <v>0</v>
      </c>
      <c r="AX24" s="742">
        <f t="shared" si="21"/>
        <v>0.44756799999999997</v>
      </c>
      <c r="AY24" s="765">
        <f t="shared" si="22"/>
        <v>384.5515392612577</v>
      </c>
      <c r="AZ24" s="557">
        <f t="shared" si="23"/>
        <v>0.11638699999999999</v>
      </c>
      <c r="BA24" s="795">
        <f t="shared" si="24"/>
        <v>0</v>
      </c>
      <c r="BB24" s="453" t="e">
        <f t="shared" si="25"/>
        <v>#DIV/0!</v>
      </c>
      <c r="BC24" s="453">
        <f t="shared" si="26"/>
        <v>0.44756799999999997</v>
      </c>
      <c r="BD24" s="765">
        <f t="shared" si="27"/>
        <v>384.5515392612577</v>
      </c>
      <c r="BE24" s="89">
        <f t="shared" si="28"/>
        <v>0.11638699999999999</v>
      </c>
      <c r="BF24" s="967">
        <f t="shared" si="29"/>
        <v>0.027711</v>
      </c>
      <c r="BG24" s="955">
        <v>0</v>
      </c>
      <c r="BH24" s="966">
        <f t="shared" si="31"/>
        <v>0.44756799999999997</v>
      </c>
      <c r="BI24" s="373"/>
    </row>
    <row r="25" spans="1:61" ht="16.5" customHeight="1" hidden="1">
      <c r="A25" s="407"/>
      <c r="B25" s="448" t="s">
        <v>32</v>
      </c>
      <c r="C25" s="176"/>
      <c r="D25" s="640" t="s">
        <v>16</v>
      </c>
      <c r="E25" s="605"/>
      <c r="F25" s="350"/>
      <c r="G25" s="224"/>
      <c r="H25" s="166">
        <f t="shared" si="37"/>
        <v>0</v>
      </c>
      <c r="I25" s="276"/>
      <c r="J25" s="123"/>
      <c r="K25" s="286"/>
      <c r="L25" s="276">
        <f t="shared" si="38"/>
        <v>0</v>
      </c>
      <c r="M25" s="241"/>
      <c r="N25" s="276"/>
      <c r="O25" s="241"/>
      <c r="P25" s="276">
        <f t="shared" si="39"/>
        <v>0</v>
      </c>
      <c r="Q25" s="240"/>
      <c r="R25" s="151"/>
      <c r="S25" s="240"/>
      <c r="T25" s="385">
        <f t="shared" si="40"/>
        <v>0</v>
      </c>
      <c r="U25" s="96">
        <f t="shared" si="41"/>
        <v>0</v>
      </c>
      <c r="V25" s="567">
        <v>0</v>
      </c>
      <c r="W25" s="350">
        <v>0</v>
      </c>
      <c r="X25" s="523">
        <v>0</v>
      </c>
      <c r="Y25" s="384">
        <f t="shared" si="42"/>
        <v>0</v>
      </c>
      <c r="Z25" s="123">
        <v>0</v>
      </c>
      <c r="AA25" s="928">
        <v>0</v>
      </c>
      <c r="AB25" s="286">
        <v>0</v>
      </c>
      <c r="AC25" s="241">
        <f t="shared" si="43"/>
        <v>0</v>
      </c>
      <c r="AD25" s="241">
        <v>0</v>
      </c>
      <c r="AE25" s="241">
        <v>0</v>
      </c>
      <c r="AF25" s="241">
        <v>0</v>
      </c>
      <c r="AG25" s="241">
        <f t="shared" si="44"/>
        <v>0</v>
      </c>
      <c r="AH25" s="240">
        <v>0</v>
      </c>
      <c r="AI25" s="240">
        <v>0</v>
      </c>
      <c r="AJ25" s="267">
        <v>0</v>
      </c>
      <c r="AK25" s="416">
        <f t="shared" si="45"/>
        <v>0</v>
      </c>
      <c r="AL25" s="163">
        <f t="shared" si="46"/>
        <v>0</v>
      </c>
      <c r="AM25" s="119"/>
      <c r="AN25" s="272">
        <f t="shared" si="12"/>
        <v>0</v>
      </c>
      <c r="AO25" s="332" t="e">
        <f t="shared" si="13"/>
        <v>#DIV/0!</v>
      </c>
      <c r="AP25" s="351">
        <f t="shared" si="33"/>
        <v>0</v>
      </c>
      <c r="AQ25" s="507">
        <f t="shared" si="14"/>
        <v>0</v>
      </c>
      <c r="AR25" s="373" t="e">
        <f t="shared" si="15"/>
        <v>#DIV/0!</v>
      </c>
      <c r="AS25" s="372">
        <f t="shared" si="16"/>
        <v>0</v>
      </c>
      <c r="AT25" s="712" t="e">
        <f t="shared" si="17"/>
        <v>#DIV/0!</v>
      </c>
      <c r="AU25" s="557">
        <f t="shared" si="18"/>
        <v>0</v>
      </c>
      <c r="AV25" s="742">
        <f t="shared" si="19"/>
        <v>0</v>
      </c>
      <c r="AW25" s="709" t="e">
        <f t="shared" si="20"/>
        <v>#DIV/0!</v>
      </c>
      <c r="AX25" s="742">
        <f t="shared" si="21"/>
        <v>0</v>
      </c>
      <c r="AY25" s="765" t="e">
        <f t="shared" si="22"/>
        <v>#DIV/0!</v>
      </c>
      <c r="AZ25" s="557">
        <f t="shared" si="23"/>
        <v>0</v>
      </c>
      <c r="BA25" s="795">
        <f t="shared" si="24"/>
        <v>0</v>
      </c>
      <c r="BB25" s="453" t="e">
        <f t="shared" si="25"/>
        <v>#DIV/0!</v>
      </c>
      <c r="BC25" s="453">
        <f t="shared" si="26"/>
        <v>0</v>
      </c>
      <c r="BD25" s="765" t="e">
        <f t="shared" si="27"/>
        <v>#DIV/0!</v>
      </c>
      <c r="BE25" s="89">
        <f t="shared" si="28"/>
        <v>0</v>
      </c>
      <c r="BF25" s="967">
        <f t="shared" si="29"/>
        <v>0</v>
      </c>
      <c r="BG25" s="897" t="e">
        <f t="shared" si="30"/>
        <v>#DIV/0!</v>
      </c>
      <c r="BH25" s="966">
        <f t="shared" si="31"/>
        <v>0</v>
      </c>
      <c r="BI25" s="373" t="e">
        <f t="shared" si="32"/>
        <v>#DIV/0!</v>
      </c>
    </row>
    <row r="26" spans="1:61" ht="16.5" customHeight="1">
      <c r="A26" s="407"/>
      <c r="B26" s="448" t="s">
        <v>32</v>
      </c>
      <c r="C26" s="199"/>
      <c r="D26" s="645" t="s">
        <v>17</v>
      </c>
      <c r="E26" s="589">
        <v>4.462399</v>
      </c>
      <c r="F26" s="348">
        <v>4.08987</v>
      </c>
      <c r="G26" s="222">
        <v>4.141958</v>
      </c>
      <c r="H26" s="166">
        <f t="shared" si="37"/>
        <v>12.694226999999998</v>
      </c>
      <c r="I26" s="275">
        <v>3.842982</v>
      </c>
      <c r="J26" s="117">
        <v>2.044662</v>
      </c>
      <c r="K26" s="738">
        <v>0.062865</v>
      </c>
      <c r="L26" s="148">
        <f t="shared" si="38"/>
        <v>5.950509</v>
      </c>
      <c r="M26" s="249"/>
      <c r="N26" s="275"/>
      <c r="O26" s="249"/>
      <c r="P26" s="148">
        <f t="shared" si="39"/>
        <v>0</v>
      </c>
      <c r="Q26" s="166"/>
      <c r="R26" s="148"/>
      <c r="S26" s="166"/>
      <c r="T26" s="384">
        <f t="shared" si="40"/>
        <v>0</v>
      </c>
      <c r="U26" s="93">
        <f t="shared" si="41"/>
        <v>18.644735999999998</v>
      </c>
      <c r="V26" s="564">
        <v>4.697596</v>
      </c>
      <c r="W26" s="348">
        <v>4.237371</v>
      </c>
      <c r="X26" s="521">
        <v>4.441186</v>
      </c>
      <c r="Y26" s="384">
        <f t="shared" si="42"/>
        <v>13.376153</v>
      </c>
      <c r="Z26" s="117">
        <v>4.015754</v>
      </c>
      <c r="AA26" s="92">
        <v>3.92773</v>
      </c>
      <c r="AB26" s="738">
        <v>3.859176</v>
      </c>
      <c r="AC26" s="166">
        <f t="shared" si="43"/>
        <v>11.80266</v>
      </c>
      <c r="AD26" s="249">
        <v>3.995613</v>
      </c>
      <c r="AE26" s="249">
        <v>2.16018</v>
      </c>
      <c r="AF26" s="249">
        <v>2.966899</v>
      </c>
      <c r="AG26" s="166">
        <f t="shared" si="44"/>
        <v>9.122692</v>
      </c>
      <c r="AH26" s="166">
        <v>4.00515</v>
      </c>
      <c r="AI26" s="166">
        <v>3.215912</v>
      </c>
      <c r="AJ26" s="209">
        <v>4.251766</v>
      </c>
      <c r="AK26" s="416">
        <f t="shared" si="45"/>
        <v>11.472828</v>
      </c>
      <c r="AL26" s="161">
        <f t="shared" si="46"/>
        <v>45.774333</v>
      </c>
      <c r="AM26" s="131"/>
      <c r="AN26" s="272">
        <f t="shared" si="12"/>
        <v>-0.23519700000000032</v>
      </c>
      <c r="AO26" s="332">
        <f t="shared" si="13"/>
        <v>-5.006752389945845</v>
      </c>
      <c r="AP26" s="351">
        <f t="shared" si="33"/>
        <v>8.934967</v>
      </c>
      <c r="AQ26" s="507">
        <f t="shared" si="14"/>
        <v>-0.1475010000000001</v>
      </c>
      <c r="AR26" s="373">
        <f t="shared" si="15"/>
        <v>-3.480955526433732</v>
      </c>
      <c r="AS26" s="372">
        <f t="shared" si="16"/>
        <v>9.709768999999998</v>
      </c>
      <c r="AT26" s="712">
        <f t="shared" si="17"/>
        <v>108.67157091906435</v>
      </c>
      <c r="AU26" s="557">
        <f t="shared" si="18"/>
        <v>17.391907</v>
      </c>
      <c r="AV26" s="742">
        <f t="shared" si="19"/>
        <v>-0.17277200000000015</v>
      </c>
      <c r="AW26" s="709">
        <f t="shared" si="20"/>
        <v>-4.302355174146626</v>
      </c>
      <c r="AX26" s="742">
        <f t="shared" si="21"/>
        <v>1.2528289999999984</v>
      </c>
      <c r="AY26" s="765">
        <f t="shared" si="22"/>
        <v>7.203517130122634</v>
      </c>
      <c r="AZ26" s="557">
        <f t="shared" si="23"/>
        <v>21.319637</v>
      </c>
      <c r="BA26" s="795">
        <f t="shared" si="24"/>
        <v>-1.8830679999999997</v>
      </c>
      <c r="BB26" s="453">
        <f t="shared" si="25"/>
        <v>-47.9429084993113</v>
      </c>
      <c r="BC26" s="453">
        <f t="shared" si="26"/>
        <v>-2.674901000000002</v>
      </c>
      <c r="BD26" s="765">
        <f t="shared" si="27"/>
        <v>-12.546653585143133</v>
      </c>
      <c r="BE26" s="89">
        <f t="shared" si="28"/>
        <v>25.178813</v>
      </c>
      <c r="BF26" s="967">
        <f t="shared" si="29"/>
        <v>-3.796311</v>
      </c>
      <c r="BG26" s="897">
        <f t="shared" si="30"/>
        <v>-98.37102531732162</v>
      </c>
      <c r="BH26" s="966">
        <f t="shared" si="31"/>
        <v>-6.5340770000000035</v>
      </c>
      <c r="BI26" s="373">
        <f t="shared" si="32"/>
        <v>-25.95069513403989</v>
      </c>
    </row>
    <row r="27" spans="1:61" ht="14.25" customHeight="1">
      <c r="A27" s="407"/>
      <c r="B27" s="448" t="s">
        <v>33</v>
      </c>
      <c r="C27" s="199"/>
      <c r="D27" s="640" t="s">
        <v>3</v>
      </c>
      <c r="E27" s="589">
        <v>0.088496</v>
      </c>
      <c r="F27" s="348">
        <v>0.100617</v>
      </c>
      <c r="G27" s="222">
        <v>0.129021</v>
      </c>
      <c r="H27" s="166">
        <f t="shared" si="37"/>
        <v>0.31813400000000003</v>
      </c>
      <c r="I27" s="275">
        <v>0.180338</v>
      </c>
      <c r="J27" s="117">
        <v>0.182269</v>
      </c>
      <c r="K27" s="738">
        <v>0.244178</v>
      </c>
      <c r="L27" s="148">
        <f t="shared" si="38"/>
        <v>0.606785</v>
      </c>
      <c r="M27" s="249"/>
      <c r="N27" s="275"/>
      <c r="O27" s="249"/>
      <c r="P27" s="148">
        <f t="shared" si="39"/>
        <v>0</v>
      </c>
      <c r="Q27" s="166"/>
      <c r="R27" s="148"/>
      <c r="S27" s="166"/>
      <c r="T27" s="384">
        <f t="shared" si="40"/>
        <v>0</v>
      </c>
      <c r="U27" s="93">
        <f t="shared" si="41"/>
        <v>0.924919</v>
      </c>
      <c r="V27" s="564">
        <v>0.084186</v>
      </c>
      <c r="W27" s="348">
        <v>0.063095</v>
      </c>
      <c r="X27" s="521">
        <v>0.103192</v>
      </c>
      <c r="Y27" s="384">
        <f t="shared" si="42"/>
        <v>0.250473</v>
      </c>
      <c r="Z27" s="117">
        <v>0.157672</v>
      </c>
      <c r="AA27" s="92">
        <v>0.206335</v>
      </c>
      <c r="AB27" s="738">
        <v>0.258529</v>
      </c>
      <c r="AC27" s="166">
        <f t="shared" si="43"/>
        <v>0.622536</v>
      </c>
      <c r="AD27" s="249">
        <v>0.314662</v>
      </c>
      <c r="AE27" s="249">
        <v>0.252653</v>
      </c>
      <c r="AF27" s="249">
        <v>0.108997</v>
      </c>
      <c r="AG27" s="166">
        <f t="shared" si="44"/>
        <v>0.676312</v>
      </c>
      <c r="AH27" s="166">
        <v>0.02802</v>
      </c>
      <c r="AI27" s="166">
        <v>0.079699</v>
      </c>
      <c r="AJ27" s="209">
        <v>0.088706</v>
      </c>
      <c r="AK27" s="416">
        <f t="shared" si="45"/>
        <v>0.19642500000000002</v>
      </c>
      <c r="AL27" s="161">
        <f t="shared" si="46"/>
        <v>1.745746</v>
      </c>
      <c r="AM27" s="119"/>
      <c r="AN27" s="272">
        <f t="shared" si="12"/>
        <v>0.004310000000000008</v>
      </c>
      <c r="AO27" s="332">
        <f t="shared" si="13"/>
        <v>5.119616088185694</v>
      </c>
      <c r="AP27" s="351">
        <f t="shared" si="33"/>
        <v>0.147281</v>
      </c>
      <c r="AQ27" s="507">
        <f t="shared" si="14"/>
        <v>0.037522</v>
      </c>
      <c r="AR27" s="373">
        <f t="shared" si="15"/>
        <v>59.46905460020605</v>
      </c>
      <c r="AS27" s="372">
        <f t="shared" si="16"/>
        <v>0.777638</v>
      </c>
      <c r="AT27" s="712">
        <f t="shared" si="17"/>
        <v>527.9961434265113</v>
      </c>
      <c r="AU27" s="557">
        <f t="shared" si="18"/>
        <v>0.408145</v>
      </c>
      <c r="AV27" s="742">
        <f t="shared" si="19"/>
        <v>0.02266599999999999</v>
      </c>
      <c r="AW27" s="709">
        <f t="shared" si="20"/>
        <v>14.375412248211461</v>
      </c>
      <c r="AX27" s="742">
        <f t="shared" si="21"/>
        <v>0.5167740000000001</v>
      </c>
      <c r="AY27" s="765">
        <f t="shared" si="22"/>
        <v>126.61529603449756</v>
      </c>
      <c r="AZ27" s="557">
        <f t="shared" si="23"/>
        <v>0.6144799999999999</v>
      </c>
      <c r="BA27" s="795">
        <f t="shared" si="24"/>
        <v>-0.024066000000000004</v>
      </c>
      <c r="BB27" s="453">
        <f t="shared" si="25"/>
        <v>-11.663556837182256</v>
      </c>
      <c r="BC27" s="453">
        <f t="shared" si="26"/>
        <v>0.31043900000000013</v>
      </c>
      <c r="BD27" s="765">
        <f t="shared" si="27"/>
        <v>50.520602786095594</v>
      </c>
      <c r="BE27" s="89">
        <f t="shared" si="28"/>
        <v>0.8730089999999999</v>
      </c>
      <c r="BF27" s="967">
        <f t="shared" si="29"/>
        <v>-0.014351000000000003</v>
      </c>
      <c r="BG27" s="897">
        <f t="shared" si="30"/>
        <v>-5.551021355437882</v>
      </c>
      <c r="BH27" s="966">
        <f t="shared" si="31"/>
        <v>0.05191000000000012</v>
      </c>
      <c r="BI27" s="373">
        <f t="shared" si="32"/>
        <v>5.946101357488871</v>
      </c>
    </row>
    <row r="28" spans="1:61" ht="16.5" customHeight="1" thickBot="1">
      <c r="A28" s="406"/>
      <c r="B28" s="447" t="s">
        <v>34</v>
      </c>
      <c r="C28" s="198"/>
      <c r="D28" s="641" t="s">
        <v>146</v>
      </c>
      <c r="E28" s="609">
        <v>0.166936</v>
      </c>
      <c r="F28" s="348">
        <v>0.13237</v>
      </c>
      <c r="G28" s="228">
        <v>0.117426</v>
      </c>
      <c r="H28" s="387">
        <f t="shared" si="37"/>
        <v>0.416732</v>
      </c>
      <c r="I28" s="92">
        <v>0.134098</v>
      </c>
      <c r="J28" s="92">
        <v>0.108411</v>
      </c>
      <c r="K28" s="735">
        <v>0.114985</v>
      </c>
      <c r="L28" s="321">
        <f t="shared" si="38"/>
        <v>0.357494</v>
      </c>
      <c r="M28" s="320"/>
      <c r="N28" s="319"/>
      <c r="O28" s="320"/>
      <c r="P28" s="312">
        <f t="shared" si="39"/>
        <v>0</v>
      </c>
      <c r="Q28" s="315"/>
      <c r="R28" s="312"/>
      <c r="S28" s="315"/>
      <c r="T28" s="387">
        <f t="shared" si="40"/>
        <v>0</v>
      </c>
      <c r="U28" s="93">
        <f t="shared" si="41"/>
        <v>0.774226</v>
      </c>
      <c r="V28" s="564">
        <v>0.140752</v>
      </c>
      <c r="W28" s="445">
        <v>0.127144</v>
      </c>
      <c r="X28" s="528">
        <v>0.123736</v>
      </c>
      <c r="Y28" s="805">
        <f t="shared" si="42"/>
        <v>0.39163200000000004</v>
      </c>
      <c r="Z28" s="440">
        <v>0.149923</v>
      </c>
      <c r="AA28" s="929">
        <v>0.134654</v>
      </c>
      <c r="AB28" s="769">
        <v>0.095641</v>
      </c>
      <c r="AC28" s="439">
        <f t="shared" si="43"/>
        <v>0.38021799999999994</v>
      </c>
      <c r="AD28" s="439">
        <v>0.138092</v>
      </c>
      <c r="AE28" s="439">
        <v>0.134319</v>
      </c>
      <c r="AF28" s="439">
        <v>0.155168</v>
      </c>
      <c r="AG28" s="439">
        <f t="shared" si="44"/>
        <v>0.42757899999999993</v>
      </c>
      <c r="AH28" s="439">
        <v>0.134931</v>
      </c>
      <c r="AI28" s="439">
        <v>0.15172</v>
      </c>
      <c r="AJ28" s="440">
        <v>0.161359</v>
      </c>
      <c r="AK28" s="509">
        <f t="shared" si="45"/>
        <v>0.44801</v>
      </c>
      <c r="AL28" s="441">
        <f t="shared" si="46"/>
        <v>1.6474389999999999</v>
      </c>
      <c r="AM28" s="442"/>
      <c r="AN28" s="443">
        <f t="shared" si="12"/>
        <v>0.026184000000000013</v>
      </c>
      <c r="AO28" s="444">
        <v>0</v>
      </c>
      <c r="AP28" s="556">
        <f t="shared" si="33"/>
        <v>0.267896</v>
      </c>
      <c r="AQ28" s="507">
        <f t="shared" si="14"/>
        <v>0.005225999999999981</v>
      </c>
      <c r="AR28" s="373">
        <f t="shared" si="15"/>
        <v>4.110300132133631</v>
      </c>
      <c r="AS28" s="372">
        <f t="shared" si="16"/>
        <v>0.50633</v>
      </c>
      <c r="AT28" s="712">
        <f t="shared" si="17"/>
        <v>189.0024487114402</v>
      </c>
      <c r="AU28" s="557">
        <f t="shared" si="18"/>
        <v>0.541555</v>
      </c>
      <c r="AV28" s="742">
        <f t="shared" si="19"/>
        <v>-0.015825000000000006</v>
      </c>
      <c r="AW28" s="709">
        <f t="shared" si="20"/>
        <v>-10.555418448136706</v>
      </c>
      <c r="AX28" s="742">
        <f t="shared" si="21"/>
        <v>0.23267099999999996</v>
      </c>
      <c r="AY28" s="765">
        <f t="shared" si="22"/>
        <v>42.963503245284386</v>
      </c>
      <c r="AZ28" s="557">
        <f t="shared" si="23"/>
        <v>0.6762090000000001</v>
      </c>
      <c r="BA28" s="795">
        <f t="shared" si="24"/>
        <v>-0.026243000000000002</v>
      </c>
      <c r="BB28" s="453">
        <f t="shared" si="25"/>
        <v>-19.4892093810804</v>
      </c>
      <c r="BC28" s="453">
        <f t="shared" si="26"/>
        <v>0.09801699999999991</v>
      </c>
      <c r="BD28" s="765">
        <f t="shared" si="27"/>
        <v>14.495074747600214</v>
      </c>
      <c r="BE28" s="89">
        <f t="shared" si="28"/>
        <v>0.77185</v>
      </c>
      <c r="BF28" s="967">
        <f t="shared" si="29"/>
        <v>0.019344</v>
      </c>
      <c r="BG28" s="897">
        <f t="shared" si="30"/>
        <v>20.225635449232016</v>
      </c>
      <c r="BH28" s="966">
        <f t="shared" si="31"/>
        <v>0.0023759999999999337</v>
      </c>
      <c r="BI28" s="373">
        <f t="shared" si="32"/>
        <v>0.3078318326099634</v>
      </c>
    </row>
    <row r="29" spans="1:61" s="48" customFormat="1" ht="16.5" customHeight="1">
      <c r="A29" s="591"/>
      <c r="B29" s="646" t="s">
        <v>35</v>
      </c>
      <c r="C29" s="450"/>
      <c r="D29" s="643" t="s">
        <v>150</v>
      </c>
      <c r="E29" s="610"/>
      <c r="F29" s="454">
        <v>0</v>
      </c>
      <c r="G29" s="461"/>
      <c r="H29" s="451"/>
      <c r="I29" s="829">
        <v>0</v>
      </c>
      <c r="J29" s="948">
        <v>0</v>
      </c>
      <c r="K29" s="961">
        <v>0</v>
      </c>
      <c r="L29" s="456">
        <f t="shared" si="38"/>
        <v>0</v>
      </c>
      <c r="M29" s="451"/>
      <c r="N29" s="456"/>
      <c r="O29" s="451"/>
      <c r="P29" s="456"/>
      <c r="Q29" s="451"/>
      <c r="R29" s="456"/>
      <c r="S29" s="451"/>
      <c r="T29" s="462"/>
      <c r="U29" s="326">
        <v>0</v>
      </c>
      <c r="V29" s="568">
        <v>0.027293</v>
      </c>
      <c r="W29" s="360">
        <v>0.026718</v>
      </c>
      <c r="X29" s="529">
        <v>0.028874</v>
      </c>
      <c r="Y29" s="743">
        <f t="shared" si="42"/>
        <v>0.082885</v>
      </c>
      <c r="Z29" s="755">
        <v>0.029595</v>
      </c>
      <c r="AA29" s="510">
        <v>0.026029</v>
      </c>
      <c r="AB29" s="770">
        <v>0.0228</v>
      </c>
      <c r="AC29" s="510">
        <f t="shared" si="43"/>
        <v>0.078424</v>
      </c>
      <c r="AD29" s="510">
        <v>0.018383</v>
      </c>
      <c r="AE29" s="511">
        <v>0</v>
      </c>
      <c r="AF29" s="511">
        <v>0</v>
      </c>
      <c r="AG29" s="510">
        <f t="shared" si="44"/>
        <v>0.018383</v>
      </c>
      <c r="AH29" s="511">
        <v>0</v>
      </c>
      <c r="AI29" s="511">
        <v>0</v>
      </c>
      <c r="AJ29" s="511">
        <v>0</v>
      </c>
      <c r="AK29" s="108">
        <f t="shared" si="45"/>
        <v>0</v>
      </c>
      <c r="AL29" s="510">
        <f t="shared" si="46"/>
        <v>0.179692</v>
      </c>
      <c r="AM29" s="512"/>
      <c r="AN29" s="452"/>
      <c r="AO29" s="452"/>
      <c r="AP29" s="557">
        <f t="shared" si="33"/>
        <v>0.054011</v>
      </c>
      <c r="AQ29" s="507">
        <f t="shared" si="14"/>
        <v>-0.026718</v>
      </c>
      <c r="AR29" s="373"/>
      <c r="AS29" s="372">
        <f t="shared" si="16"/>
        <v>-0.054011</v>
      </c>
      <c r="AT29" s="712"/>
      <c r="AU29" s="557">
        <f t="shared" si="18"/>
        <v>0.11248</v>
      </c>
      <c r="AV29" s="742">
        <f t="shared" si="19"/>
        <v>-0.029595</v>
      </c>
      <c r="AW29" s="709">
        <f t="shared" si="20"/>
        <v>-100</v>
      </c>
      <c r="AX29" s="742">
        <f t="shared" si="21"/>
        <v>-0.11248</v>
      </c>
      <c r="AY29" s="765">
        <f t="shared" si="22"/>
        <v>-100</v>
      </c>
      <c r="AZ29" s="557">
        <f t="shared" si="23"/>
        <v>0.138509</v>
      </c>
      <c r="BA29" s="795">
        <f t="shared" si="24"/>
        <v>-0.026029</v>
      </c>
      <c r="BB29" s="453">
        <f t="shared" si="25"/>
        <v>-100</v>
      </c>
      <c r="BC29" s="453">
        <f t="shared" si="26"/>
        <v>-0.138509</v>
      </c>
      <c r="BD29" s="765">
        <f t="shared" si="27"/>
        <v>-100</v>
      </c>
      <c r="BE29" s="89">
        <f t="shared" si="28"/>
        <v>0.16130899999999998</v>
      </c>
      <c r="BF29" s="967">
        <f t="shared" si="29"/>
        <v>-0.0228</v>
      </c>
      <c r="BG29" s="897">
        <f t="shared" si="30"/>
        <v>-100</v>
      </c>
      <c r="BH29" s="966">
        <f t="shared" si="31"/>
        <v>-0.16130899999999998</v>
      </c>
      <c r="BI29" s="373">
        <f t="shared" si="32"/>
        <v>-100</v>
      </c>
    </row>
    <row r="30" spans="1:61" ht="18" customHeight="1">
      <c r="A30" s="407"/>
      <c r="B30" s="448" t="s">
        <v>36</v>
      </c>
      <c r="C30" s="199"/>
      <c r="D30" s="640" t="s">
        <v>37</v>
      </c>
      <c r="E30" s="589">
        <v>1.113816</v>
      </c>
      <c r="F30" s="348">
        <v>1.220656</v>
      </c>
      <c r="G30" s="222">
        <v>1.754142</v>
      </c>
      <c r="H30" s="166">
        <f t="shared" si="37"/>
        <v>4.088614</v>
      </c>
      <c r="I30" s="275">
        <v>2.25664</v>
      </c>
      <c r="J30" s="117">
        <v>3.24112</v>
      </c>
      <c r="K30" s="738">
        <v>2.539241</v>
      </c>
      <c r="L30" s="148">
        <f t="shared" si="38"/>
        <v>8.037001</v>
      </c>
      <c r="M30" s="249"/>
      <c r="N30" s="275"/>
      <c r="O30" s="249"/>
      <c r="P30" s="148">
        <f t="shared" si="39"/>
        <v>0</v>
      </c>
      <c r="Q30" s="166"/>
      <c r="R30" s="148"/>
      <c r="S30" s="166"/>
      <c r="T30" s="384">
        <f t="shared" si="40"/>
        <v>0</v>
      </c>
      <c r="U30" s="93">
        <f>H30+L30+P30+T30</f>
        <v>12.125615</v>
      </c>
      <c r="V30" s="564">
        <f>1.091262</f>
        <v>1.091262</v>
      </c>
      <c r="W30" s="348">
        <f>0.965194</f>
        <v>0.965194</v>
      </c>
      <c r="X30" s="530">
        <f>1.324505</f>
        <v>1.324505</v>
      </c>
      <c r="Y30" s="416">
        <f t="shared" si="42"/>
        <v>3.380961</v>
      </c>
      <c r="Z30" s="117">
        <f>1.904778</f>
        <v>1.904778</v>
      </c>
      <c r="AA30" s="92">
        <f>2.506522</f>
        <v>2.506522</v>
      </c>
      <c r="AB30" s="748">
        <f>1.979565</f>
        <v>1.979565</v>
      </c>
      <c r="AC30" s="91">
        <f t="shared" si="43"/>
        <v>6.390865</v>
      </c>
      <c r="AD30" s="92">
        <f>1.246839</f>
        <v>1.246839</v>
      </c>
      <c r="AE30" s="92">
        <v>1.070555</v>
      </c>
      <c r="AF30" s="92">
        <f>0.961432+0.05977</f>
        <v>1.021202</v>
      </c>
      <c r="AG30" s="91">
        <f t="shared" si="44"/>
        <v>3.338596</v>
      </c>
      <c r="AH30" s="91">
        <v>1.310288</v>
      </c>
      <c r="AI30" s="91">
        <v>1.399566</v>
      </c>
      <c r="AJ30" s="91">
        <v>1.1974</v>
      </c>
      <c r="AK30" s="91">
        <f t="shared" si="45"/>
        <v>3.907254</v>
      </c>
      <c r="AL30" s="94">
        <f>Y30+AC30+AG30+AK30</f>
        <v>17.017676</v>
      </c>
      <c r="AM30" s="513"/>
      <c r="AN30" s="453">
        <f t="shared" si="12"/>
        <v>0.022553999999999963</v>
      </c>
      <c r="AO30" s="453">
        <f t="shared" si="13"/>
        <v>2.0667813962183175</v>
      </c>
      <c r="AP30" s="558">
        <f t="shared" si="33"/>
        <v>2.056456</v>
      </c>
      <c r="AQ30" s="507">
        <f t="shared" si="14"/>
        <v>0.25546199999999997</v>
      </c>
      <c r="AR30" s="373">
        <f t="shared" si="15"/>
        <v>26.46742520156569</v>
      </c>
      <c r="AS30" s="372">
        <f t="shared" si="16"/>
        <v>10.069158999999999</v>
      </c>
      <c r="AT30" s="712">
        <f t="shared" si="17"/>
        <v>489.63649112842677</v>
      </c>
      <c r="AU30" s="557">
        <f t="shared" si="18"/>
        <v>5.285739</v>
      </c>
      <c r="AV30" s="742">
        <f t="shared" si="19"/>
        <v>0.3518619999999999</v>
      </c>
      <c r="AW30" s="709">
        <f t="shared" si="20"/>
        <v>18.472598906539233</v>
      </c>
      <c r="AX30" s="742">
        <f t="shared" si="21"/>
        <v>6.839875999999999</v>
      </c>
      <c r="AY30" s="765">
        <f t="shared" si="22"/>
        <v>129.40245441555095</v>
      </c>
      <c r="AZ30" s="557">
        <f t="shared" si="23"/>
        <v>7.792261</v>
      </c>
      <c r="BA30" s="795">
        <f t="shared" si="24"/>
        <v>0.7345980000000001</v>
      </c>
      <c r="BB30" s="453">
        <f t="shared" si="25"/>
        <v>29.30746269133087</v>
      </c>
      <c r="BC30" s="453">
        <f t="shared" si="26"/>
        <v>4.333354</v>
      </c>
      <c r="BD30" s="765">
        <f t="shared" si="27"/>
        <v>55.61099660291154</v>
      </c>
      <c r="BE30" s="89">
        <f t="shared" si="28"/>
        <v>9.771826</v>
      </c>
      <c r="BF30" s="967">
        <f t="shared" si="29"/>
        <v>0.5596760000000001</v>
      </c>
      <c r="BG30" s="897">
        <f t="shared" si="30"/>
        <v>28.27267606772196</v>
      </c>
      <c r="BH30" s="966">
        <f t="shared" si="31"/>
        <v>2.353788999999999</v>
      </c>
      <c r="BI30" s="373">
        <f t="shared" si="32"/>
        <v>24.087504218761154</v>
      </c>
    </row>
    <row r="31" spans="1:61" s="66" customFormat="1" ht="33.75" customHeight="1">
      <c r="A31" s="592">
        <v>3</v>
      </c>
      <c r="B31" s="1048" t="s">
        <v>85</v>
      </c>
      <c r="C31" s="1049"/>
      <c r="D31" s="1050"/>
      <c r="E31" s="527">
        <f aca="true" t="shared" si="47" ref="E31:U31">E32+E33+E35+E36+E37+E34+E38</f>
        <v>2.5167339999999836</v>
      </c>
      <c r="F31" s="213">
        <f t="shared" si="47"/>
        <v>2.375177000000001</v>
      </c>
      <c r="G31" s="213">
        <f t="shared" si="47"/>
        <v>1.9506230000000588</v>
      </c>
      <c r="H31" s="213">
        <f t="shared" si="47"/>
        <v>6.842534000000043</v>
      </c>
      <c r="I31" s="731">
        <f t="shared" si="47"/>
        <v>2.1358279999999823</v>
      </c>
      <c r="J31" s="910">
        <f t="shared" si="47"/>
        <v>1.9320909999999927</v>
      </c>
      <c r="K31" s="527">
        <f t="shared" si="47"/>
        <v>1.9657979999999964</v>
      </c>
      <c r="L31" s="213">
        <f t="shared" si="47"/>
        <v>6.033716999999972</v>
      </c>
      <c r="M31" s="213">
        <f t="shared" si="47"/>
        <v>0</v>
      </c>
      <c r="N31" s="213">
        <f t="shared" si="47"/>
        <v>0</v>
      </c>
      <c r="O31" s="213">
        <f t="shared" si="47"/>
        <v>0</v>
      </c>
      <c r="P31" s="213">
        <f t="shared" si="47"/>
        <v>0</v>
      </c>
      <c r="Q31" s="213">
        <f t="shared" si="47"/>
        <v>0</v>
      </c>
      <c r="R31" s="213">
        <f t="shared" si="47"/>
        <v>0</v>
      </c>
      <c r="S31" s="213">
        <f t="shared" si="47"/>
        <v>0</v>
      </c>
      <c r="T31" s="725">
        <f t="shared" si="47"/>
        <v>0</v>
      </c>
      <c r="U31" s="727">
        <f t="shared" si="47"/>
        <v>12.876251000000016</v>
      </c>
      <c r="V31" s="572">
        <f aca="true" t="shared" si="48" ref="V31:AB31">V32+V33+V35+V36+V37+V34+V38+V39</f>
        <v>2.4521889999999638</v>
      </c>
      <c r="W31" s="213">
        <f t="shared" si="48"/>
        <v>2.1528849999999986</v>
      </c>
      <c r="X31" s="720">
        <f t="shared" si="48"/>
        <v>2.3178039999999998</v>
      </c>
      <c r="Y31" s="806">
        <f t="shared" si="48"/>
        <v>6.922877999999962</v>
      </c>
      <c r="Z31" s="130">
        <f t="shared" si="48"/>
        <v>2.412520000000006</v>
      </c>
      <c r="AA31" s="97">
        <f t="shared" si="48"/>
        <v>2.8462760000000067</v>
      </c>
      <c r="AB31" s="771">
        <f t="shared" si="48"/>
        <v>2.9087610000000197</v>
      </c>
      <c r="AC31" s="97">
        <f t="shared" si="43"/>
        <v>8.167557000000032</v>
      </c>
      <c r="AD31" s="97">
        <f>AD32+AD33+AD35+AD36+AD37+AD34+AD38+AD39</f>
        <v>3.2920450000000048</v>
      </c>
      <c r="AE31" s="97">
        <f>AE32+AE33+AE35+AE36+AE37+AE34+AE38</f>
        <v>4.268099000000014</v>
      </c>
      <c r="AF31" s="97">
        <f>AF32+AF33+AF35+AF36+AF37+AF34+AF38</f>
        <v>2.38139099999999</v>
      </c>
      <c r="AG31" s="97">
        <f t="shared" si="44"/>
        <v>9.941535000000009</v>
      </c>
      <c r="AH31" s="97">
        <f>AH32+AH33+AH35+AH36+AH37+AH34+AH38+AH39</f>
        <v>1.9640269999999598</v>
      </c>
      <c r="AI31" s="97">
        <f>AI32+AI33+AI35+AI36+AI37+AI34+AI38+AI39</f>
        <v>2.2009300000000067</v>
      </c>
      <c r="AJ31" s="97">
        <f>AJ32+AJ33+AJ35+AJ36+AJ37+AJ34+AJ38+AJ39</f>
        <v>2.555756000000022</v>
      </c>
      <c r="AK31" s="97">
        <f t="shared" si="45"/>
        <v>6.720712999999988</v>
      </c>
      <c r="AL31" s="97">
        <f>AL32+AL33+AL35+AL36+AL37+AL34+AL38+AL39</f>
        <v>31.752683000000147</v>
      </c>
      <c r="AM31" s="515"/>
      <c r="AN31" s="516">
        <f t="shared" si="12"/>
        <v>0.06454500000001984</v>
      </c>
      <c r="AO31" s="516">
        <f t="shared" si="13"/>
        <v>2.6321380611372405</v>
      </c>
      <c r="AP31" s="559">
        <f>SUM(AP32:AP39)</f>
        <v>4.605073999999949</v>
      </c>
      <c r="AQ31" s="508">
        <f t="shared" si="14"/>
        <v>0.2222920000000026</v>
      </c>
      <c r="AR31" s="375">
        <f t="shared" si="15"/>
        <v>10.325307668547225</v>
      </c>
      <c r="AS31" s="374">
        <f t="shared" si="16"/>
        <v>8.271177000000067</v>
      </c>
      <c r="AT31" s="825">
        <f t="shared" si="17"/>
        <v>179.61007792709</v>
      </c>
      <c r="AU31" s="559">
        <f t="shared" si="18"/>
        <v>9.335397999999968</v>
      </c>
      <c r="AV31" s="801">
        <f t="shared" si="19"/>
        <v>-0.2766920000000237</v>
      </c>
      <c r="AW31" s="797">
        <f t="shared" si="20"/>
        <v>-11.46900336577616</v>
      </c>
      <c r="AX31" s="801">
        <f t="shared" si="21"/>
        <v>3.540853000000048</v>
      </c>
      <c r="AY31" s="892">
        <f t="shared" si="22"/>
        <v>37.929320206809194</v>
      </c>
      <c r="AZ31" s="559">
        <f t="shared" si="23"/>
        <v>12.181673999999974</v>
      </c>
      <c r="BA31" s="796">
        <f t="shared" si="24"/>
        <v>-0.914185000000014</v>
      </c>
      <c r="BB31" s="516">
        <f t="shared" si="25"/>
        <v>-32.11863501642188</v>
      </c>
      <c r="BC31" s="516">
        <f t="shared" si="26"/>
        <v>0.6945770000000415</v>
      </c>
      <c r="BD31" s="892">
        <f t="shared" si="27"/>
        <v>5.701818978245868</v>
      </c>
      <c r="BE31" s="968">
        <f t="shared" si="28"/>
        <v>15.090434999999994</v>
      </c>
      <c r="BF31" s="969">
        <f t="shared" si="29"/>
        <v>-0.9429630000000233</v>
      </c>
      <c r="BG31" s="896">
        <f t="shared" si="30"/>
        <v>-32.41802953216222</v>
      </c>
      <c r="BH31" s="970">
        <f t="shared" si="31"/>
        <v>-2.214183999999978</v>
      </c>
      <c r="BI31" s="375">
        <f t="shared" si="32"/>
        <v>-14.672764569079547</v>
      </c>
    </row>
    <row r="32" spans="1:61" ht="17.25" customHeight="1">
      <c r="A32" s="407"/>
      <c r="B32" s="448" t="s">
        <v>38</v>
      </c>
      <c r="C32" s="176"/>
      <c r="D32" s="644" t="s">
        <v>14</v>
      </c>
      <c r="E32" s="589">
        <f>E10-E22-E41</f>
        <v>0.5372389999999996</v>
      </c>
      <c r="F32" s="348">
        <f>F10-F22-F41</f>
        <v>0.494655999999992</v>
      </c>
      <c r="G32" s="222">
        <f>G10-G22-G41</f>
        <v>0.47894700000003354</v>
      </c>
      <c r="H32" s="166">
        <f aca="true" t="shared" si="49" ref="H32:H38">E32+F32+G32</f>
        <v>1.510842000000025</v>
      </c>
      <c r="I32" s="275">
        <f>I10-I22-I41</f>
        <v>0.4112739999999917</v>
      </c>
      <c r="J32" s="117">
        <f>J10-J22-J41</f>
        <v>0.43334099999998443</v>
      </c>
      <c r="K32" s="738">
        <f>K10-K22-K41</f>
        <v>0.4014449999999954</v>
      </c>
      <c r="L32" s="148">
        <f t="shared" si="38"/>
        <v>1.2460599999999715</v>
      </c>
      <c r="M32" s="249"/>
      <c r="N32" s="294"/>
      <c r="O32" s="249"/>
      <c r="P32" s="148">
        <f t="shared" si="39"/>
        <v>0</v>
      </c>
      <c r="Q32" s="166"/>
      <c r="R32" s="275"/>
      <c r="S32" s="249"/>
      <c r="T32" s="384">
        <f t="shared" si="40"/>
        <v>0</v>
      </c>
      <c r="U32" s="93">
        <f aca="true" t="shared" si="50" ref="U32:U38">H32+L32+P32+T32</f>
        <v>2.7569019999999966</v>
      </c>
      <c r="V32" s="564">
        <f>V10-V22-V41</f>
        <v>0.623348999999962</v>
      </c>
      <c r="W32" s="348">
        <f>W10-W22-W41</f>
        <v>0.5252319999999884</v>
      </c>
      <c r="X32" s="521">
        <f>X10-X22-X41</f>
        <v>0.48214400000000524</v>
      </c>
      <c r="Y32" s="384">
        <f aca="true" t="shared" si="51" ref="Y32:Y39">V32+W32+X32</f>
        <v>1.6307249999999556</v>
      </c>
      <c r="Z32" s="117">
        <f>Z10-Z22-Z41</f>
        <v>0.4620469999999841</v>
      </c>
      <c r="AA32" s="92">
        <f>AA10-AA22-AA41</f>
        <v>0.4124209999999948</v>
      </c>
      <c r="AB32" s="738">
        <f>AB10-AB22-AB41</f>
        <v>0.3342739999999935</v>
      </c>
      <c r="AC32" s="166">
        <f t="shared" si="43"/>
        <v>1.2087419999999724</v>
      </c>
      <c r="AD32" s="249">
        <f>AD10-AD22-AD41</f>
        <v>0.35075199999999995</v>
      </c>
      <c r="AE32" s="257">
        <f>AE10-AE22-AE41</f>
        <v>0.37334800000002133</v>
      </c>
      <c r="AF32" s="249">
        <f>AF10-AF22-AF41</f>
        <v>0.1877009999999757</v>
      </c>
      <c r="AG32" s="166">
        <f t="shared" si="44"/>
        <v>0.911800999999997</v>
      </c>
      <c r="AH32" s="166">
        <f>AH10-AH22-AH41</f>
        <v>0.07057900000000217</v>
      </c>
      <c r="AI32" s="249">
        <f>AI10-AI22-AI41</f>
        <v>0.4561230000000194</v>
      </c>
      <c r="AJ32" s="117">
        <f>AJ10-AJ22-AJ41</f>
        <v>0.5056200000000217</v>
      </c>
      <c r="AK32" s="421">
        <f>AK10-AK22-AK41</f>
        <v>1.032322000000022</v>
      </c>
      <c r="AL32" s="161">
        <f aca="true" t="shared" si="52" ref="AL32:AL37">Y32+AC32+AG32+AK32</f>
        <v>4.783589999999947</v>
      </c>
      <c r="AM32" s="119"/>
      <c r="AN32" s="272">
        <f t="shared" si="12"/>
        <v>-0.08610999999996238</v>
      </c>
      <c r="AO32" s="332">
        <f t="shared" si="13"/>
        <v>-13.814091303582359</v>
      </c>
      <c r="AP32" s="351">
        <f t="shared" si="33"/>
        <v>1.1485809999999503</v>
      </c>
      <c r="AQ32" s="507">
        <f t="shared" si="14"/>
        <v>-0.030575999999996384</v>
      </c>
      <c r="AR32" s="373">
        <f t="shared" si="15"/>
        <v>-5.8214274834734</v>
      </c>
      <c r="AS32" s="372">
        <f t="shared" si="16"/>
        <v>1.6083210000000463</v>
      </c>
      <c r="AT32" s="712">
        <f t="shared" si="17"/>
        <v>140.0267808713635</v>
      </c>
      <c r="AU32" s="557">
        <f t="shared" si="18"/>
        <v>2.0927719999999397</v>
      </c>
      <c r="AV32" s="742">
        <f t="shared" si="19"/>
        <v>-0.05077299999999241</v>
      </c>
      <c r="AW32" s="709">
        <f t="shared" si="20"/>
        <v>-10.988708940864058</v>
      </c>
      <c r="AX32" s="742">
        <f t="shared" si="21"/>
        <v>0.664130000000057</v>
      </c>
      <c r="AY32" s="765">
        <f t="shared" si="22"/>
        <v>31.73446510179207</v>
      </c>
      <c r="AZ32" s="557">
        <f t="shared" si="23"/>
        <v>2.5051929999999345</v>
      </c>
      <c r="BA32" s="795">
        <f t="shared" si="24"/>
        <v>0.020919999999989614</v>
      </c>
      <c r="BB32" s="453">
        <f t="shared" si="25"/>
        <v>5.072486609554289</v>
      </c>
      <c r="BC32" s="453">
        <f t="shared" si="26"/>
        <v>0.25170900000006213</v>
      </c>
      <c r="BD32" s="765">
        <f t="shared" si="27"/>
        <v>10.047489355114308</v>
      </c>
      <c r="BE32" s="89">
        <f t="shared" si="28"/>
        <v>2.839466999999928</v>
      </c>
      <c r="BF32" s="967">
        <f t="shared" si="29"/>
        <v>0.06717100000000187</v>
      </c>
      <c r="BG32" s="897">
        <f t="shared" si="30"/>
        <v>20.09459305839016</v>
      </c>
      <c r="BH32" s="966">
        <f t="shared" si="31"/>
        <v>-0.08256499999993139</v>
      </c>
      <c r="BI32" s="373">
        <f t="shared" si="32"/>
        <v>-2.9077640275422567</v>
      </c>
    </row>
    <row r="33" spans="1:61" ht="17.25" customHeight="1" thickBot="1">
      <c r="A33" s="593"/>
      <c r="B33" s="647" t="s">
        <v>39</v>
      </c>
      <c r="C33" s="186"/>
      <c r="D33" s="648" t="s">
        <v>15</v>
      </c>
      <c r="E33" s="589">
        <f>E12-E23-E42</f>
        <v>0.7288159999999948</v>
      </c>
      <c r="F33" s="348">
        <f>F12-F23-F42</f>
        <v>0.5902159999999981</v>
      </c>
      <c r="G33" s="224">
        <f>G12-G23-G85</f>
        <v>0</v>
      </c>
      <c r="H33" s="166">
        <f t="shared" si="49"/>
        <v>1.3190319999999929</v>
      </c>
      <c r="I33" s="121">
        <f>I12-I23-I42</f>
        <v>0</v>
      </c>
      <c r="J33" s="121">
        <f>J12-J23-J42</f>
        <v>0</v>
      </c>
      <c r="K33" s="738">
        <v>0</v>
      </c>
      <c r="L33" s="148">
        <f t="shared" si="38"/>
        <v>0</v>
      </c>
      <c r="M33" s="249"/>
      <c r="N33" s="275"/>
      <c r="O33" s="249"/>
      <c r="P33" s="148">
        <f t="shared" si="39"/>
        <v>0</v>
      </c>
      <c r="Q33" s="166"/>
      <c r="R33" s="275"/>
      <c r="S33" s="249"/>
      <c r="T33" s="384">
        <f t="shared" si="40"/>
        <v>0</v>
      </c>
      <c r="U33" s="93">
        <f t="shared" si="50"/>
        <v>1.3190319999999929</v>
      </c>
      <c r="V33" s="573">
        <f>V12-V23-V42</f>
        <v>0.7613699999999994</v>
      </c>
      <c r="W33" s="348">
        <f>W12-W23-W42</f>
        <v>0.6350690000000014</v>
      </c>
      <c r="X33" s="531">
        <f>X12-X23-X42</f>
        <v>0.2872380000000021</v>
      </c>
      <c r="Y33" s="384">
        <f t="shared" si="51"/>
        <v>1.683677000000003</v>
      </c>
      <c r="Z33" s="123">
        <f>Z12-Z23-Z42</f>
        <v>0</v>
      </c>
      <c r="AA33" s="928">
        <f>AA12-AA23-AA42</f>
        <v>0.06632700000000114</v>
      </c>
      <c r="AB33" s="286">
        <f>AB12-AB23-AB42</f>
        <v>0</v>
      </c>
      <c r="AC33" s="166">
        <f t="shared" si="43"/>
        <v>0.06632700000000114</v>
      </c>
      <c r="AD33" s="249">
        <f>AD12-AD23-AD42</f>
        <v>0.08796600000000154</v>
      </c>
      <c r="AE33" s="249">
        <f>AE12-AE23-AE42</f>
        <v>0.38561600000000595</v>
      </c>
      <c r="AF33" s="249">
        <f>AF12-AF23-AF42</f>
        <v>0.3084090000000046</v>
      </c>
      <c r="AG33" s="166">
        <f t="shared" si="44"/>
        <v>0.7819910000000121</v>
      </c>
      <c r="AH33" s="166">
        <f>AH12-AH23-AH43</f>
        <v>0.29434899999999686</v>
      </c>
      <c r="AI33" s="249">
        <f>AI12-AI23-AI42</f>
        <v>0.5198389999999975</v>
      </c>
      <c r="AJ33" s="117">
        <f>AJ12-AJ23-AJ42</f>
        <v>0.6036059999999992</v>
      </c>
      <c r="AK33" s="421">
        <f>AK12-AK23-AK42</f>
        <v>1.4177939999999865</v>
      </c>
      <c r="AL33" s="161">
        <f t="shared" si="52"/>
        <v>3.9497890000000027</v>
      </c>
      <c r="AM33" s="132"/>
      <c r="AN33" s="272">
        <f t="shared" si="12"/>
        <v>-0.032554000000004635</v>
      </c>
      <c r="AO33" s="332">
        <f t="shared" si="13"/>
        <v>-4.275713516424958</v>
      </c>
      <c r="AP33" s="351">
        <f t="shared" si="33"/>
        <v>1.3964390000000009</v>
      </c>
      <c r="AQ33" s="507">
        <f t="shared" si="14"/>
        <v>-0.04485300000000336</v>
      </c>
      <c r="AR33" s="373">
        <f t="shared" si="15"/>
        <v>-7.062697124250008</v>
      </c>
      <c r="AS33" s="372">
        <f t="shared" si="16"/>
        <v>-0.077407000000008</v>
      </c>
      <c r="AT33" s="712">
        <f t="shared" si="17"/>
        <v>-5.54317087964516</v>
      </c>
      <c r="AU33" s="557">
        <f t="shared" si="18"/>
        <v>1.683677000000003</v>
      </c>
      <c r="AV33" s="759">
        <f t="shared" si="19"/>
        <v>0</v>
      </c>
      <c r="AW33" s="760">
        <v>0</v>
      </c>
      <c r="AX33" s="742">
        <f t="shared" si="21"/>
        <v>-0.3646450000000101</v>
      </c>
      <c r="AY33" s="765">
        <f t="shared" si="22"/>
        <v>-21.65765761485187</v>
      </c>
      <c r="AZ33" s="557">
        <f t="shared" si="23"/>
        <v>1.7500040000000041</v>
      </c>
      <c r="BA33" s="795">
        <f t="shared" si="24"/>
        <v>-0.06632700000000114</v>
      </c>
      <c r="BB33" s="453">
        <f t="shared" si="25"/>
        <v>-100</v>
      </c>
      <c r="BC33" s="453">
        <f t="shared" si="26"/>
        <v>-0.43097200000001123</v>
      </c>
      <c r="BD33" s="765">
        <f t="shared" si="27"/>
        <v>-24.62691513848027</v>
      </c>
      <c r="BE33" s="89">
        <f t="shared" si="28"/>
        <v>1.7500040000000041</v>
      </c>
      <c r="BF33" s="974">
        <f t="shared" si="29"/>
        <v>0</v>
      </c>
      <c r="BG33" s="974">
        <v>0</v>
      </c>
      <c r="BH33" s="966">
        <f t="shared" si="31"/>
        <v>-0.43097200000001123</v>
      </c>
      <c r="BI33" s="373">
        <f t="shared" si="32"/>
        <v>-24.62691513848027</v>
      </c>
    </row>
    <row r="34" spans="1:61" ht="17.25" customHeight="1">
      <c r="A34" s="407"/>
      <c r="B34" s="448" t="s">
        <v>40</v>
      </c>
      <c r="C34" s="176"/>
      <c r="D34" s="634" t="s">
        <v>110</v>
      </c>
      <c r="E34" s="702">
        <f>E13-E24-E44</f>
        <v>0.002995000000000081</v>
      </c>
      <c r="F34" s="301">
        <f>F13-F24-F44</f>
        <v>0.0039359999999999395</v>
      </c>
      <c r="G34" s="718">
        <f>G13-G24-G44</f>
        <v>0.010180000000000078</v>
      </c>
      <c r="H34" s="298">
        <f t="shared" si="49"/>
        <v>0.0171110000000001</v>
      </c>
      <c r="I34" s="279">
        <f>I13-I24-I44</f>
        <v>0</v>
      </c>
      <c r="J34" s="123">
        <f>J13-J24-J44</f>
        <v>0</v>
      </c>
      <c r="K34" s="738">
        <f>K13-K24-K44</f>
        <v>0.0006039999999999934</v>
      </c>
      <c r="L34" s="148">
        <f t="shared" si="38"/>
        <v>0.0006039999999999934</v>
      </c>
      <c r="M34" s="249"/>
      <c r="N34" s="275"/>
      <c r="O34" s="249"/>
      <c r="P34" s="148">
        <f t="shared" si="39"/>
        <v>0</v>
      </c>
      <c r="Q34" s="166"/>
      <c r="R34" s="275"/>
      <c r="S34" s="241"/>
      <c r="T34" s="384">
        <f t="shared" si="40"/>
        <v>0</v>
      </c>
      <c r="U34" s="93">
        <f t="shared" si="50"/>
        <v>0.017715000000000092</v>
      </c>
      <c r="V34" s="703">
        <f aca="true" t="shared" si="53" ref="V34:X36">V13-V24-V44</f>
        <v>0.003098999999999963</v>
      </c>
      <c r="W34" s="446">
        <f t="shared" si="53"/>
        <v>0.0007240000000000579</v>
      </c>
      <c r="X34" s="704">
        <f t="shared" si="53"/>
        <v>0</v>
      </c>
      <c r="Y34" s="385">
        <f t="shared" si="51"/>
        <v>0.003823000000000021</v>
      </c>
      <c r="Z34" s="834">
        <f>Z13-Z24-Z44</f>
        <v>0</v>
      </c>
      <c r="AA34" s="928">
        <v>0</v>
      </c>
      <c r="AB34" s="286">
        <f>AB13-AB24-AB44</f>
        <v>0</v>
      </c>
      <c r="AC34" s="166">
        <f t="shared" si="43"/>
        <v>0</v>
      </c>
      <c r="AD34" s="249">
        <f aca="true" t="shared" si="54" ref="AD34:AF36">AD13-AD24-AD44</f>
        <v>0.027989000000000264</v>
      </c>
      <c r="AE34" s="249">
        <f t="shared" si="54"/>
        <v>1.43897699999998</v>
      </c>
      <c r="AF34" s="249">
        <f t="shared" si="54"/>
        <v>0.4966790000000003</v>
      </c>
      <c r="AG34" s="166">
        <f t="shared" si="44"/>
        <v>1.9636449999999805</v>
      </c>
      <c r="AH34" s="166">
        <f>AH13-AH24-AH44</f>
        <v>0.3091779999999744</v>
      </c>
      <c r="AI34" s="249">
        <f aca="true" t="shared" si="55" ref="AI34:AK36">AI13-AI24-AI44</f>
        <v>0.13762299999999783</v>
      </c>
      <c r="AJ34" s="123">
        <f t="shared" si="55"/>
        <v>0.17881599999999764</v>
      </c>
      <c r="AK34" s="421">
        <f t="shared" si="55"/>
        <v>0.625616999999977</v>
      </c>
      <c r="AL34" s="161">
        <f t="shared" si="52"/>
        <v>2.5930849999999577</v>
      </c>
      <c r="AM34" s="124"/>
      <c r="AN34" s="272">
        <f t="shared" si="12"/>
        <v>-0.00010399999999988196</v>
      </c>
      <c r="AO34" s="332">
        <f t="shared" si="13"/>
        <v>-3.355921264920397</v>
      </c>
      <c r="AP34" s="358">
        <f t="shared" si="33"/>
        <v>0.003823000000000021</v>
      </c>
      <c r="AQ34" s="705">
        <f t="shared" si="14"/>
        <v>0.0032119999999998816</v>
      </c>
      <c r="AR34" s="373"/>
      <c r="AS34" s="405">
        <f t="shared" si="16"/>
        <v>0.013892000000000071</v>
      </c>
      <c r="AT34" s="712">
        <f t="shared" si="17"/>
        <v>363.3795448600575</v>
      </c>
      <c r="AU34" s="557">
        <f t="shared" si="18"/>
        <v>0.003823000000000021</v>
      </c>
      <c r="AV34" s="759">
        <f t="shared" si="19"/>
        <v>0</v>
      </c>
      <c r="AW34" s="760">
        <v>0</v>
      </c>
      <c r="AX34" s="742">
        <f t="shared" si="21"/>
        <v>0.013892000000000071</v>
      </c>
      <c r="AY34" s="765">
        <f t="shared" si="22"/>
        <v>363.3795448600575</v>
      </c>
      <c r="AZ34" s="557">
        <f t="shared" si="23"/>
        <v>0.003823000000000021</v>
      </c>
      <c r="BA34" s="795">
        <f t="shared" si="24"/>
        <v>0</v>
      </c>
      <c r="BB34" s="453" t="e">
        <f t="shared" si="25"/>
        <v>#DIV/0!</v>
      </c>
      <c r="BC34" s="453">
        <f t="shared" si="26"/>
        <v>0.013892000000000071</v>
      </c>
      <c r="BD34" s="765">
        <f t="shared" si="27"/>
        <v>363.3795448600575</v>
      </c>
      <c r="BE34" s="918">
        <f t="shared" si="28"/>
        <v>0.003823000000000021</v>
      </c>
      <c r="BF34" s="974">
        <f t="shared" si="29"/>
        <v>0.0006039999999999934</v>
      </c>
      <c r="BG34" s="974">
        <v>0</v>
      </c>
      <c r="BH34" s="966">
        <f t="shared" si="31"/>
        <v>0.013892000000000071</v>
      </c>
      <c r="BI34" s="373"/>
    </row>
    <row r="35" spans="1:61" ht="18.75" customHeight="1" hidden="1">
      <c r="A35" s="594"/>
      <c r="B35" s="649" t="s">
        <v>41</v>
      </c>
      <c r="C35" s="492"/>
      <c r="D35" s="650" t="s">
        <v>16</v>
      </c>
      <c r="E35" s="611"/>
      <c r="F35" s="493"/>
      <c r="G35" s="494"/>
      <c r="H35" s="495">
        <f t="shared" si="49"/>
        <v>0</v>
      </c>
      <c r="I35" s="496"/>
      <c r="J35" s="501"/>
      <c r="K35" s="821"/>
      <c r="L35" s="498">
        <f t="shared" si="38"/>
        <v>0</v>
      </c>
      <c r="M35" s="497"/>
      <c r="N35" s="496"/>
      <c r="O35" s="497"/>
      <c r="P35" s="496">
        <f t="shared" si="39"/>
        <v>0</v>
      </c>
      <c r="Q35" s="497"/>
      <c r="R35" s="496"/>
      <c r="S35" s="497"/>
      <c r="T35" s="499">
        <f t="shared" si="40"/>
        <v>0</v>
      </c>
      <c r="U35" s="885">
        <f t="shared" si="50"/>
        <v>0</v>
      </c>
      <c r="V35" s="574">
        <f t="shared" si="53"/>
        <v>0</v>
      </c>
      <c r="W35" s="547">
        <f t="shared" si="53"/>
        <v>0</v>
      </c>
      <c r="X35" s="532">
        <f t="shared" si="53"/>
        <v>0</v>
      </c>
      <c r="Y35" s="807">
        <f t="shared" si="51"/>
        <v>0</v>
      </c>
      <c r="Z35" s="501">
        <v>0</v>
      </c>
      <c r="AA35" s="930">
        <f>AA14-AA25-AA45</f>
        <v>0</v>
      </c>
      <c r="AB35" s="821">
        <v>0</v>
      </c>
      <c r="AC35" s="500">
        <f t="shared" si="43"/>
        <v>0</v>
      </c>
      <c r="AD35" s="497">
        <f t="shared" si="54"/>
        <v>0</v>
      </c>
      <c r="AE35" s="497">
        <f t="shared" si="54"/>
        <v>0</v>
      </c>
      <c r="AF35" s="497">
        <f t="shared" si="54"/>
        <v>0</v>
      </c>
      <c r="AG35" s="497">
        <f t="shared" si="44"/>
        <v>0</v>
      </c>
      <c r="AH35" s="497">
        <f>AH14-AH25-AH45</f>
        <v>0</v>
      </c>
      <c r="AI35" s="497">
        <f t="shared" si="55"/>
        <v>0</v>
      </c>
      <c r="AJ35" s="501">
        <f t="shared" si="55"/>
        <v>0</v>
      </c>
      <c r="AK35" s="502">
        <f t="shared" si="55"/>
        <v>0</v>
      </c>
      <c r="AL35" s="503">
        <f t="shared" si="52"/>
        <v>0</v>
      </c>
      <c r="AM35" s="138"/>
      <c r="AN35" s="465">
        <f t="shared" si="12"/>
        <v>0</v>
      </c>
      <c r="AO35" s="466" t="e">
        <f t="shared" si="13"/>
        <v>#DIV/0!</v>
      </c>
      <c r="AP35" s="560">
        <f t="shared" si="33"/>
        <v>0</v>
      </c>
      <c r="AQ35" s="551">
        <f t="shared" si="14"/>
        <v>0</v>
      </c>
      <c r="AR35" s="468" t="e">
        <f t="shared" si="15"/>
        <v>#DIV/0!</v>
      </c>
      <c r="AS35" s="467">
        <f t="shared" si="16"/>
        <v>0</v>
      </c>
      <c r="AT35" s="826" t="e">
        <f t="shared" si="17"/>
        <v>#DIV/0!</v>
      </c>
      <c r="AU35" s="557">
        <f t="shared" si="18"/>
        <v>0</v>
      </c>
      <c r="AV35" s="742">
        <f t="shared" si="19"/>
        <v>0</v>
      </c>
      <c r="AW35" s="709" t="e">
        <f t="shared" si="20"/>
        <v>#DIV/0!</v>
      </c>
      <c r="AX35" s="742">
        <f t="shared" si="21"/>
        <v>0</v>
      </c>
      <c r="AY35" s="765" t="e">
        <f t="shared" si="22"/>
        <v>#DIV/0!</v>
      </c>
      <c r="AZ35" s="557">
        <f t="shared" si="23"/>
        <v>0</v>
      </c>
      <c r="BA35" s="795">
        <f t="shared" si="24"/>
        <v>0</v>
      </c>
      <c r="BB35" s="453" t="e">
        <f t="shared" si="25"/>
        <v>#DIV/0!</v>
      </c>
      <c r="BC35" s="453">
        <f t="shared" si="26"/>
        <v>0</v>
      </c>
      <c r="BD35" s="765" t="e">
        <f t="shared" si="27"/>
        <v>#DIV/0!</v>
      </c>
      <c r="BE35" s="89">
        <f t="shared" si="28"/>
        <v>0</v>
      </c>
      <c r="BF35" s="967">
        <f t="shared" si="29"/>
        <v>0</v>
      </c>
      <c r="BG35" s="897" t="e">
        <f t="shared" si="30"/>
        <v>#DIV/0!</v>
      </c>
      <c r="BH35" s="966">
        <f t="shared" si="31"/>
        <v>0</v>
      </c>
      <c r="BI35" s="373" t="e">
        <f t="shared" si="32"/>
        <v>#DIV/0!</v>
      </c>
    </row>
    <row r="36" spans="1:61" ht="16.5" customHeight="1">
      <c r="A36" s="407"/>
      <c r="B36" s="448" t="s">
        <v>41</v>
      </c>
      <c r="C36" s="199"/>
      <c r="D36" s="645" t="s">
        <v>17</v>
      </c>
      <c r="E36" s="589">
        <f>E15-E26-E46</f>
        <v>0.6662849999999878</v>
      </c>
      <c r="F36" s="348">
        <f>F15-F26-F46</f>
        <v>0.661516000000006</v>
      </c>
      <c r="G36" s="222">
        <f>G15-G26-G46</f>
        <v>0.7333210000000179</v>
      </c>
      <c r="H36" s="166">
        <f t="shared" si="49"/>
        <v>2.0611220000000117</v>
      </c>
      <c r="I36" s="275">
        <f>I15-I26-I46</f>
        <v>0.6840029999999899</v>
      </c>
      <c r="J36" s="117">
        <f>J15-J26-J46</f>
        <v>0.3567989999999952</v>
      </c>
      <c r="K36" s="738">
        <f>K15-K26-K46</f>
        <v>0.011741000000000223</v>
      </c>
      <c r="L36" s="148">
        <f t="shared" si="38"/>
        <v>1.0525429999999854</v>
      </c>
      <c r="M36" s="249"/>
      <c r="N36" s="275"/>
      <c r="O36" s="249"/>
      <c r="P36" s="148">
        <f t="shared" si="39"/>
        <v>0</v>
      </c>
      <c r="Q36" s="166"/>
      <c r="R36" s="275"/>
      <c r="S36" s="249"/>
      <c r="T36" s="384">
        <f t="shared" si="40"/>
        <v>0</v>
      </c>
      <c r="U36" s="93">
        <f t="shared" si="50"/>
        <v>3.113664999999997</v>
      </c>
      <c r="V36" s="564">
        <f t="shared" si="53"/>
        <v>0.5204669999999965</v>
      </c>
      <c r="W36" s="348">
        <f t="shared" si="53"/>
        <v>0.4715710000000115</v>
      </c>
      <c r="X36" s="521">
        <f t="shared" si="53"/>
        <v>0.8007379999999955</v>
      </c>
      <c r="Y36" s="384">
        <f t="shared" si="51"/>
        <v>1.7927760000000035</v>
      </c>
      <c r="Z36" s="117">
        <f>Z15-Z26-Z46</f>
        <v>0.6792360000000315</v>
      </c>
      <c r="AA36" s="92">
        <f>AA15-AA26-AA46</f>
        <v>0.7268239999999935</v>
      </c>
      <c r="AB36" s="738">
        <f>AB15-AB26-AB46</f>
        <v>0.6492260000000272</v>
      </c>
      <c r="AC36" s="166">
        <f t="shared" si="43"/>
        <v>2.055286000000052</v>
      </c>
      <c r="AD36" s="249">
        <f t="shared" si="54"/>
        <v>0.7291519999999991</v>
      </c>
      <c r="AE36" s="249">
        <f t="shared" si="54"/>
        <v>0.3944940000000088</v>
      </c>
      <c r="AF36" s="249">
        <f t="shared" si="54"/>
        <v>0.5263130000000018</v>
      </c>
      <c r="AG36" s="166">
        <f t="shared" si="44"/>
        <v>1.6499590000000097</v>
      </c>
      <c r="AH36" s="166">
        <f>AH15-AH26-AH46</f>
        <v>0.7895539999999812</v>
      </c>
      <c r="AI36" s="249">
        <f t="shared" si="55"/>
        <v>0.5615269999999981</v>
      </c>
      <c r="AJ36" s="117">
        <f t="shared" si="55"/>
        <v>0.7093590000000063</v>
      </c>
      <c r="AK36" s="421">
        <f t="shared" si="55"/>
        <v>2.0604400000000282</v>
      </c>
      <c r="AL36" s="161">
        <f t="shared" si="52"/>
        <v>7.558461000000094</v>
      </c>
      <c r="AM36" s="119"/>
      <c r="AN36" s="706">
        <f t="shared" si="12"/>
        <v>0.14581799999999134</v>
      </c>
      <c r="AO36" s="707">
        <f t="shared" si="13"/>
        <v>28.016761869627146</v>
      </c>
      <c r="AP36" s="351">
        <f t="shared" si="33"/>
        <v>0.992038000000008</v>
      </c>
      <c r="AQ36" s="708">
        <f t="shared" si="14"/>
        <v>0.18994499999999448</v>
      </c>
      <c r="AR36" s="709">
        <f t="shared" si="15"/>
        <v>40.27919443731483</v>
      </c>
      <c r="AS36" s="710">
        <f t="shared" si="16"/>
        <v>2.121626999999989</v>
      </c>
      <c r="AT36" s="765">
        <f t="shared" si="17"/>
        <v>213.86549708781035</v>
      </c>
      <c r="AU36" s="557">
        <f t="shared" si="18"/>
        <v>2.472012000000035</v>
      </c>
      <c r="AV36" s="759">
        <f t="shared" si="19"/>
        <v>0.004766999999958443</v>
      </c>
      <c r="AW36" s="709">
        <f t="shared" si="20"/>
        <v>0.701817924838835</v>
      </c>
      <c r="AX36" s="742">
        <f t="shared" si="21"/>
        <v>0.6416529999999621</v>
      </c>
      <c r="AY36" s="765">
        <f t="shared" si="22"/>
        <v>25.956710566128024</v>
      </c>
      <c r="AZ36" s="557">
        <f t="shared" si="23"/>
        <v>3.1988360000000284</v>
      </c>
      <c r="BA36" s="795">
        <f t="shared" si="24"/>
        <v>-0.37002499999999827</v>
      </c>
      <c r="BB36" s="453">
        <f t="shared" si="25"/>
        <v>-50.90984887675718</v>
      </c>
      <c r="BC36" s="453">
        <f t="shared" si="26"/>
        <v>-0.08517100000003142</v>
      </c>
      <c r="BD36" s="765">
        <f t="shared" si="27"/>
        <v>-2.6625622570219463</v>
      </c>
      <c r="BE36" s="89">
        <f t="shared" si="28"/>
        <v>3.8480620000000556</v>
      </c>
      <c r="BF36" s="967">
        <f t="shared" si="29"/>
        <v>-0.637485000000027</v>
      </c>
      <c r="BG36" s="897">
        <f t="shared" si="30"/>
        <v>-98.19153884779726</v>
      </c>
      <c r="BH36" s="966">
        <f t="shared" si="31"/>
        <v>-0.7343970000000586</v>
      </c>
      <c r="BI36" s="373">
        <f t="shared" si="32"/>
        <v>-19.084853622422088</v>
      </c>
    </row>
    <row r="37" spans="1:61" ht="13.5" customHeight="1">
      <c r="A37" s="407"/>
      <c r="B37" s="448" t="s">
        <v>42</v>
      </c>
      <c r="C37" s="199"/>
      <c r="D37" s="640" t="s">
        <v>3</v>
      </c>
      <c r="E37" s="589">
        <f>E17-E27-E47</f>
        <v>0.1863550000000025</v>
      </c>
      <c r="F37" s="348">
        <f>F17-F27-F47</f>
        <v>0.2488980000000005</v>
      </c>
      <c r="G37" s="222">
        <f>G17-G27-G47</f>
        <v>0.4368199999999973</v>
      </c>
      <c r="H37" s="166">
        <f t="shared" si="49"/>
        <v>0.8720730000000003</v>
      </c>
      <c r="I37" s="275">
        <f>I17-I27-I47</f>
        <v>0.7208570000000023</v>
      </c>
      <c r="J37" s="117">
        <f>J17-J27-J47</f>
        <v>0.7636240000000072</v>
      </c>
      <c r="K37" s="738">
        <f>K17-K27-K47</f>
        <v>1.1364659999999986</v>
      </c>
      <c r="L37" s="148">
        <f t="shared" si="38"/>
        <v>2.620947000000008</v>
      </c>
      <c r="M37" s="249"/>
      <c r="N37" s="275"/>
      <c r="O37" s="249"/>
      <c r="P37" s="148">
        <f t="shared" si="39"/>
        <v>0</v>
      </c>
      <c r="Q37" s="166"/>
      <c r="R37" s="275"/>
      <c r="S37" s="249"/>
      <c r="T37" s="384">
        <f t="shared" si="40"/>
        <v>0</v>
      </c>
      <c r="U37" s="93">
        <f t="shared" si="50"/>
        <v>3.4930200000000085</v>
      </c>
      <c r="V37" s="564">
        <f>V17-V27-V47</f>
        <v>0.1580520000000014</v>
      </c>
      <c r="W37" s="348">
        <f>W17-W27-W47</f>
        <v>0.14579399999999865</v>
      </c>
      <c r="X37" s="521">
        <f>X17-X27-X47</f>
        <v>0.2923759999999973</v>
      </c>
      <c r="Y37" s="384">
        <f t="shared" si="51"/>
        <v>0.5962219999999974</v>
      </c>
      <c r="Z37" s="117">
        <f>Z17-Z27-Z47</f>
        <v>0.5933140000000066</v>
      </c>
      <c r="AA37" s="92">
        <f>AA17-AA27-AA47</f>
        <v>0.9481040000000149</v>
      </c>
      <c r="AB37" s="738">
        <f>AB17-AB27-AB47</f>
        <v>1.4147339999999957</v>
      </c>
      <c r="AC37" s="166">
        <f t="shared" si="43"/>
        <v>2.956152000000017</v>
      </c>
      <c r="AD37" s="249">
        <f>AD17-AD27-AD47</f>
        <v>1.6212450000000018</v>
      </c>
      <c r="AE37" s="249">
        <f>AE17-AE27-AE47</f>
        <v>1.2616620000000012</v>
      </c>
      <c r="AF37" s="249">
        <f>AF17-AF27-AF47</f>
        <v>0.4314050000000016</v>
      </c>
      <c r="AG37" s="166">
        <f t="shared" si="44"/>
        <v>3.3143120000000046</v>
      </c>
      <c r="AH37" s="166">
        <f>AH17-AH27-AH48</f>
        <v>0.09328599999999998</v>
      </c>
      <c r="AI37" s="249">
        <f>AI17-AI27-AI47</f>
        <v>0.17110600000000176</v>
      </c>
      <c r="AJ37" s="117">
        <f>AJ17-AJ27-AJ47</f>
        <v>0.18697899999999912</v>
      </c>
      <c r="AK37" s="421">
        <f>AK17-AK27-AK47</f>
        <v>0.4513709999999982</v>
      </c>
      <c r="AL37" s="161">
        <f t="shared" si="52"/>
        <v>7.318057000000017</v>
      </c>
      <c r="AM37" s="119"/>
      <c r="AN37" s="272">
        <f t="shared" si="12"/>
        <v>0.028303000000001077</v>
      </c>
      <c r="AO37" s="332">
        <f t="shared" si="13"/>
        <v>17.90739756535875</v>
      </c>
      <c r="AP37" s="351">
        <f t="shared" si="33"/>
        <v>0.30384600000000006</v>
      </c>
      <c r="AQ37" s="507">
        <f t="shared" si="14"/>
        <v>0.10310400000000186</v>
      </c>
      <c r="AR37" s="373">
        <f t="shared" si="15"/>
        <v>70.71895962797018</v>
      </c>
      <c r="AS37" s="372">
        <f t="shared" si="16"/>
        <v>3.1891740000000084</v>
      </c>
      <c r="AT37" s="712">
        <f t="shared" si="17"/>
        <v>1049.6021010643576</v>
      </c>
      <c r="AU37" s="557">
        <f t="shared" si="18"/>
        <v>1.189536000000004</v>
      </c>
      <c r="AV37" s="742">
        <f t="shared" si="19"/>
        <v>0.12754299999999574</v>
      </c>
      <c r="AW37" s="709">
        <f t="shared" si="20"/>
        <v>21.496711690604698</v>
      </c>
      <c r="AX37" s="742">
        <f t="shared" si="21"/>
        <v>2.3034840000000045</v>
      </c>
      <c r="AY37" s="765">
        <f t="shared" si="22"/>
        <v>193.64558954079547</v>
      </c>
      <c r="AZ37" s="557">
        <f t="shared" si="23"/>
        <v>2.137640000000019</v>
      </c>
      <c r="BA37" s="795">
        <f t="shared" si="24"/>
        <v>-0.18448000000000775</v>
      </c>
      <c r="BB37" s="453">
        <f t="shared" si="25"/>
        <v>-19.45778100292847</v>
      </c>
      <c r="BC37" s="453">
        <f t="shared" si="26"/>
        <v>1.3553799999999896</v>
      </c>
      <c r="BD37" s="765">
        <f t="shared" si="27"/>
        <v>63.40543777249573</v>
      </c>
      <c r="BE37" s="89">
        <f t="shared" si="28"/>
        <v>3.5523740000000146</v>
      </c>
      <c r="BF37" s="967">
        <f t="shared" si="29"/>
        <v>-0.2782679999999971</v>
      </c>
      <c r="BG37" s="897">
        <f t="shared" si="30"/>
        <v>-19.669280585608178</v>
      </c>
      <c r="BH37" s="966">
        <f t="shared" si="31"/>
        <v>-0.059354000000006124</v>
      </c>
      <c r="BI37" s="373">
        <f t="shared" si="32"/>
        <v>-1.6708263262822527</v>
      </c>
    </row>
    <row r="38" spans="1:61" ht="15" customHeight="1">
      <c r="A38" s="407"/>
      <c r="B38" s="448" t="s">
        <v>43</v>
      </c>
      <c r="C38" s="199"/>
      <c r="D38" s="641" t="s">
        <v>146</v>
      </c>
      <c r="E38" s="589">
        <f>E18-E28-E49</f>
        <v>0.3950439999999986</v>
      </c>
      <c r="F38" s="348">
        <f>F18-F28-F49</f>
        <v>0.3759550000000047</v>
      </c>
      <c r="G38" s="222">
        <f>G18-G28-G49</f>
        <v>0.29135500000001</v>
      </c>
      <c r="H38" s="166">
        <f t="shared" si="49"/>
        <v>1.0623540000000133</v>
      </c>
      <c r="I38" s="275">
        <f>I18-I28-I49</f>
        <v>0.31969399999999837</v>
      </c>
      <c r="J38" s="123">
        <f>J18-J28-J49</f>
        <v>0.37832700000000585</v>
      </c>
      <c r="K38" s="286">
        <f>K18-K28-K49</f>
        <v>0.4155420000000021</v>
      </c>
      <c r="L38" s="148">
        <f t="shared" si="38"/>
        <v>1.1135630000000063</v>
      </c>
      <c r="M38" s="249"/>
      <c r="N38" s="275"/>
      <c r="O38" s="249"/>
      <c r="P38" s="148">
        <f t="shared" si="39"/>
        <v>0</v>
      </c>
      <c r="Q38" s="166"/>
      <c r="R38" s="275"/>
      <c r="S38" s="249"/>
      <c r="T38" s="384">
        <f t="shared" si="40"/>
        <v>0</v>
      </c>
      <c r="U38" s="93">
        <f t="shared" si="50"/>
        <v>2.1759170000000196</v>
      </c>
      <c r="V38" s="564">
        <f aca="true" t="shared" si="56" ref="V38:X39">V18-V28-V49</f>
        <v>0.34435600000000477</v>
      </c>
      <c r="W38" s="348">
        <f t="shared" si="56"/>
        <v>0.3441839999999985</v>
      </c>
      <c r="X38" s="432">
        <f t="shared" si="56"/>
        <v>0.36177299999999946</v>
      </c>
      <c r="Y38" s="384">
        <f t="shared" si="51"/>
        <v>1.0503130000000027</v>
      </c>
      <c r="Z38" s="782">
        <f aca="true" t="shared" si="57" ref="Z38:AB39">Z18-Z28-Z49</f>
        <v>0.4588269999999852</v>
      </c>
      <c r="AA38" s="931">
        <f t="shared" si="57"/>
        <v>0.4462400000000031</v>
      </c>
      <c r="AB38" s="432">
        <f t="shared" si="57"/>
        <v>0.35360400000000425</v>
      </c>
      <c r="AC38" s="166">
        <f t="shared" si="43"/>
        <v>1.2586709999999925</v>
      </c>
      <c r="AD38" s="88">
        <f>AD18-AD28-AD49</f>
        <v>0.3969900000000024</v>
      </c>
      <c r="AE38" s="88">
        <f>AE18-AE28-AE49</f>
        <v>0.41400199999999643</v>
      </c>
      <c r="AF38" s="88">
        <f>AF18-AF28-AF49</f>
        <v>0.43088400000000604</v>
      </c>
      <c r="AG38" s="166">
        <f t="shared" si="44"/>
        <v>1.2418760000000049</v>
      </c>
      <c r="AH38" s="88">
        <f>AH18-AH28-AH49</f>
        <v>0.40708100000000513</v>
      </c>
      <c r="AI38" s="88">
        <f aca="true" t="shared" si="58" ref="AI38:AP38">AI18-AI28-AI49</f>
        <v>0.35471199999999214</v>
      </c>
      <c r="AJ38" s="88">
        <f t="shared" si="58"/>
        <v>0.37137599999999793</v>
      </c>
      <c r="AK38" s="88">
        <f t="shared" si="58"/>
        <v>1.1331689999999526</v>
      </c>
      <c r="AL38" s="348">
        <f t="shared" si="58"/>
        <v>4.684029000000123</v>
      </c>
      <c r="AM38" s="432">
        <f t="shared" si="58"/>
        <v>0</v>
      </c>
      <c r="AN38" s="88">
        <f t="shared" si="58"/>
        <v>0.05068799999999385</v>
      </c>
      <c r="AO38" s="88">
        <f t="shared" si="58"/>
        <v>0</v>
      </c>
      <c r="AP38" s="348">
        <f t="shared" si="58"/>
        <v>0.688539999999989</v>
      </c>
      <c r="AQ38" s="507">
        <f t="shared" si="14"/>
        <v>0.03177100000000621</v>
      </c>
      <c r="AR38" s="373">
        <f t="shared" si="15"/>
        <v>9.230818399462606</v>
      </c>
      <c r="AS38" s="372">
        <f t="shared" si="16"/>
        <v>1.4873770000000306</v>
      </c>
      <c r="AT38" s="713">
        <v>0</v>
      </c>
      <c r="AU38" s="557">
        <f t="shared" si="18"/>
        <v>1.509139999999988</v>
      </c>
      <c r="AV38" s="742">
        <f t="shared" si="19"/>
        <v>-0.13913299999998685</v>
      </c>
      <c r="AW38" s="709">
        <f t="shared" si="20"/>
        <v>-30.323629603312654</v>
      </c>
      <c r="AX38" s="742">
        <f t="shared" si="21"/>
        <v>0.6667770000000317</v>
      </c>
      <c r="AY38" s="765">
        <f t="shared" si="22"/>
        <v>44.182580807614755</v>
      </c>
      <c r="AZ38" s="557">
        <f t="shared" si="23"/>
        <v>1.955379999999991</v>
      </c>
      <c r="BA38" s="795">
        <f t="shared" si="24"/>
        <v>-0.06791299999999723</v>
      </c>
      <c r="BB38" s="453">
        <f t="shared" si="25"/>
        <v>-15.218940480458215</v>
      </c>
      <c r="BC38" s="453">
        <f t="shared" si="26"/>
        <v>0.22053700000002863</v>
      </c>
      <c r="BD38" s="765">
        <f t="shared" si="27"/>
        <v>11.278472726530381</v>
      </c>
      <c r="BE38" s="89">
        <f t="shared" si="28"/>
        <v>2.3089839999999953</v>
      </c>
      <c r="BF38" s="967">
        <f t="shared" si="29"/>
        <v>0.06193799999999783</v>
      </c>
      <c r="BG38" s="897">
        <f t="shared" si="30"/>
        <v>17.516204567820807</v>
      </c>
      <c r="BH38" s="966">
        <f t="shared" si="31"/>
        <v>-0.13306699999997562</v>
      </c>
      <c r="BI38" s="373">
        <f t="shared" si="32"/>
        <v>-5.763010917354819</v>
      </c>
    </row>
    <row r="39" spans="1:61" s="48" customFormat="1" ht="15" customHeight="1" thickBot="1">
      <c r="A39" s="591"/>
      <c r="B39" s="646" t="s">
        <v>44</v>
      </c>
      <c r="C39" s="450"/>
      <c r="D39" s="643" t="s">
        <v>150</v>
      </c>
      <c r="E39" s="524"/>
      <c r="F39" s="454">
        <v>0</v>
      </c>
      <c r="G39" s="458">
        <v>0</v>
      </c>
      <c r="H39" s="260"/>
      <c r="I39" s="944">
        <v>0</v>
      </c>
      <c r="J39" s="949">
        <f>J19-J29-J50</f>
        <v>0</v>
      </c>
      <c r="K39" s="943">
        <v>0</v>
      </c>
      <c r="L39" s="457"/>
      <c r="M39" s="260"/>
      <c r="N39" s="457"/>
      <c r="O39" s="260"/>
      <c r="P39" s="457"/>
      <c r="Q39" s="260"/>
      <c r="R39" s="457"/>
      <c r="S39" s="260"/>
      <c r="T39" s="459"/>
      <c r="U39" s="111">
        <v>0</v>
      </c>
      <c r="V39" s="568">
        <f t="shared" si="56"/>
        <v>0.04149599999999998</v>
      </c>
      <c r="W39" s="360">
        <f t="shared" si="56"/>
        <v>0.0303110000000002</v>
      </c>
      <c r="X39" s="914">
        <f t="shared" si="56"/>
        <v>0.09353500000000015</v>
      </c>
      <c r="Y39" s="391">
        <f t="shared" si="51"/>
        <v>0.16534200000000032</v>
      </c>
      <c r="Z39" s="742">
        <f t="shared" si="57"/>
        <v>0.21909599999999863</v>
      </c>
      <c r="AA39" s="746">
        <f t="shared" si="57"/>
        <v>0.24635999999999925</v>
      </c>
      <c r="AB39" s="868">
        <f t="shared" si="57"/>
        <v>0.15692299999999904</v>
      </c>
      <c r="AC39" s="435">
        <f t="shared" si="43"/>
        <v>0.6223789999999969</v>
      </c>
      <c r="AD39" s="869">
        <f>AD19-AD29-AD50</f>
        <v>0.07795099999999966</v>
      </c>
      <c r="AE39" s="870">
        <v>0</v>
      </c>
      <c r="AF39" s="870">
        <v>0</v>
      </c>
      <c r="AG39" s="435">
        <f t="shared" si="44"/>
        <v>0.07795099999999966</v>
      </c>
      <c r="AH39" s="869">
        <v>0</v>
      </c>
      <c r="AI39" s="869">
        <v>0</v>
      </c>
      <c r="AJ39" s="869">
        <v>0</v>
      </c>
      <c r="AK39" s="869">
        <f>AK19-AK29-AK50</f>
        <v>0</v>
      </c>
      <c r="AL39" s="867">
        <f>AL19-AL29-AL50</f>
        <v>0.8656720000000035</v>
      </c>
      <c r="AM39" s="868"/>
      <c r="AN39" s="752"/>
      <c r="AO39" s="752"/>
      <c r="AP39" s="867">
        <f>AP19-AP29-AP50</f>
        <v>0.07180699999999973</v>
      </c>
      <c r="AQ39" s="871">
        <f t="shared" si="14"/>
        <v>-0.0303110000000002</v>
      </c>
      <c r="AR39" s="872"/>
      <c r="AS39" s="873">
        <f t="shared" si="16"/>
        <v>-0.07180699999999973</v>
      </c>
      <c r="AT39" s="874"/>
      <c r="AU39" s="764">
        <f t="shared" si="18"/>
        <v>0.38443799999999895</v>
      </c>
      <c r="AV39" s="843">
        <f t="shared" si="19"/>
        <v>-0.21909599999999863</v>
      </c>
      <c r="AW39" s="844">
        <f t="shared" si="20"/>
        <v>-100</v>
      </c>
      <c r="AX39" s="843">
        <f t="shared" si="21"/>
        <v>-0.38443799999999895</v>
      </c>
      <c r="AY39" s="893">
        <f t="shared" si="22"/>
        <v>-100</v>
      </c>
      <c r="AZ39" s="557">
        <f t="shared" si="23"/>
        <v>0.6307979999999982</v>
      </c>
      <c r="BA39" s="795">
        <f t="shared" si="24"/>
        <v>-0.24635999999999925</v>
      </c>
      <c r="BB39" s="453">
        <f t="shared" si="25"/>
        <v>-100</v>
      </c>
      <c r="BC39" s="453">
        <f t="shared" si="26"/>
        <v>-0.6307979999999982</v>
      </c>
      <c r="BD39" s="765">
        <f t="shared" si="27"/>
        <v>-100</v>
      </c>
      <c r="BE39" s="89">
        <f t="shared" si="28"/>
        <v>0.7877209999999972</v>
      </c>
      <c r="BF39" s="967">
        <f t="shared" si="29"/>
        <v>-0.15692299999999904</v>
      </c>
      <c r="BG39" s="897">
        <f t="shared" si="30"/>
        <v>-100</v>
      </c>
      <c r="BH39" s="966">
        <f t="shared" si="31"/>
        <v>-0.7877209999999972</v>
      </c>
      <c r="BI39" s="373">
        <f t="shared" si="32"/>
        <v>-100</v>
      </c>
    </row>
    <row r="40" spans="1:61" s="65" customFormat="1" ht="18.75" customHeight="1">
      <c r="A40" s="861">
        <v>4</v>
      </c>
      <c r="B40" s="862" t="s">
        <v>6</v>
      </c>
      <c r="C40" s="863"/>
      <c r="D40" s="864"/>
      <c r="E40" s="622">
        <f aca="true" t="shared" si="59" ref="E40:U40">E41+E42+E45+E47+E51+E46+E44+E49</f>
        <v>647.8908710000001</v>
      </c>
      <c r="F40" s="789">
        <f t="shared" si="59"/>
        <v>599.0395530000001</v>
      </c>
      <c r="G40" s="789">
        <f t="shared" si="59"/>
        <v>580.411434</v>
      </c>
      <c r="H40" s="789">
        <f t="shared" si="59"/>
        <v>1827.3418579999998</v>
      </c>
      <c r="I40" s="865">
        <f t="shared" si="59"/>
        <v>615.0651660000001</v>
      </c>
      <c r="J40" s="945">
        <f t="shared" si="59"/>
        <v>505.57856200000003</v>
      </c>
      <c r="K40" s="622">
        <f t="shared" si="59"/>
        <v>484.52396</v>
      </c>
      <c r="L40" s="789">
        <f t="shared" si="59"/>
        <v>1605.1676879999998</v>
      </c>
      <c r="M40" s="789">
        <f t="shared" si="59"/>
        <v>0</v>
      </c>
      <c r="N40" s="789">
        <f t="shared" si="59"/>
        <v>0</v>
      </c>
      <c r="O40" s="789">
        <f t="shared" si="59"/>
        <v>0</v>
      </c>
      <c r="P40" s="789">
        <f t="shared" si="59"/>
        <v>0</v>
      </c>
      <c r="Q40" s="789">
        <f t="shared" si="59"/>
        <v>0</v>
      </c>
      <c r="R40" s="789">
        <f t="shared" si="59"/>
        <v>0</v>
      </c>
      <c r="S40" s="789">
        <f t="shared" si="59"/>
        <v>0</v>
      </c>
      <c r="T40" s="866">
        <f t="shared" si="59"/>
        <v>0</v>
      </c>
      <c r="U40" s="972">
        <f t="shared" si="59"/>
        <v>3432.509546</v>
      </c>
      <c r="V40" s="584">
        <f aca="true" t="shared" si="60" ref="V40:AF40">V41+V42+V45+V47+V51+V46+V44+V49+V50</f>
        <v>613.9159729999999</v>
      </c>
      <c r="W40" s="789">
        <f t="shared" si="60"/>
        <v>547.9345109999999</v>
      </c>
      <c r="X40" s="622">
        <f t="shared" si="60"/>
        <v>570.774426</v>
      </c>
      <c r="Y40" s="866">
        <f t="shared" si="60"/>
        <v>1732.62491</v>
      </c>
      <c r="Z40" s="790">
        <f t="shared" si="60"/>
        <v>620.032422</v>
      </c>
      <c r="AA40" s="925">
        <f t="shared" si="60"/>
        <v>649.2942959999999</v>
      </c>
      <c r="AB40" s="784">
        <f t="shared" si="60"/>
        <v>606.6203709999999</v>
      </c>
      <c r="AC40" s="786">
        <f t="shared" si="60"/>
        <v>1875.947089</v>
      </c>
      <c r="AD40" s="785">
        <f t="shared" si="60"/>
        <v>584.750489</v>
      </c>
      <c r="AE40" s="785">
        <f t="shared" si="60"/>
        <v>666.690229</v>
      </c>
      <c r="AF40" s="785">
        <f t="shared" si="60"/>
        <v>640.01283</v>
      </c>
      <c r="AG40" s="785">
        <f>AG41+AG42+AG45+AG47+AG51+AG46+AG44+AG49</f>
        <v>1885.1364460000002</v>
      </c>
      <c r="AH40" s="785">
        <f>AH41+AH42+AH45+AH47+AH51+AH46+AH44+AH49+AH50</f>
        <v>595.428567</v>
      </c>
      <c r="AI40" s="785">
        <f>AI41+AI42+AI45+AI47+AI51+AI46+AI44+AI49+AI50</f>
        <v>639.902294</v>
      </c>
      <c r="AJ40" s="785">
        <f>AJ41+AJ42+AJ45+AJ47+AJ51+AJ46+AJ44+AJ49+AJ50</f>
        <v>697.9052900000002</v>
      </c>
      <c r="AK40" s="785">
        <f>AK41+AK42+AK45+AK47+AK51+AK46+AK44+AK49+AK50</f>
        <v>1933.236151</v>
      </c>
      <c r="AL40" s="785">
        <f>AL41+AL42+AL45+AL47+AL51+AL46+AL44+AL49+AL50</f>
        <v>7433.261698</v>
      </c>
      <c r="AM40" s="204"/>
      <c r="AN40" s="271">
        <f t="shared" si="12"/>
        <v>33.97489800000017</v>
      </c>
      <c r="AO40" s="334">
        <f t="shared" si="13"/>
        <v>5.53412836515335</v>
      </c>
      <c r="AP40" s="745">
        <f t="shared" si="33"/>
        <v>1161.8504839999998</v>
      </c>
      <c r="AQ40" s="508">
        <f t="shared" si="14"/>
        <v>51.10504200000014</v>
      </c>
      <c r="AR40" s="375">
        <f t="shared" si="15"/>
        <v>9.326852201138365</v>
      </c>
      <c r="AS40" s="374">
        <f t="shared" si="16"/>
        <v>2270.6590619999997</v>
      </c>
      <c r="AT40" s="825">
        <f t="shared" si="17"/>
        <v>195.43470466032875</v>
      </c>
      <c r="AU40" s="737">
        <f t="shared" si="18"/>
        <v>2352.6573319999998</v>
      </c>
      <c r="AV40" s="736">
        <f t="shared" si="19"/>
        <v>-4.967255999999907</v>
      </c>
      <c r="AW40" s="375">
        <f t="shared" si="20"/>
        <v>-0.8011284287323832</v>
      </c>
      <c r="AX40" s="736">
        <f t="shared" si="21"/>
        <v>1079.852214</v>
      </c>
      <c r="AY40" s="825">
        <f t="shared" si="22"/>
        <v>45.899256101270595</v>
      </c>
      <c r="AZ40" s="559">
        <f t="shared" si="23"/>
        <v>3001.951628</v>
      </c>
      <c r="BA40" s="796">
        <f t="shared" si="24"/>
        <v>-143.71573399999988</v>
      </c>
      <c r="BB40" s="516">
        <f t="shared" si="25"/>
        <v>-22.134143929088197</v>
      </c>
      <c r="BC40" s="516">
        <f t="shared" si="26"/>
        <v>430.557918</v>
      </c>
      <c r="BD40" s="892">
        <f t="shared" si="27"/>
        <v>14.342600126666667</v>
      </c>
      <c r="BE40" s="968">
        <f t="shared" si="28"/>
        <v>3608.571999</v>
      </c>
      <c r="BF40" s="969">
        <f t="shared" si="29"/>
        <v>-122.09641099999988</v>
      </c>
      <c r="BG40" s="896">
        <f t="shared" si="30"/>
        <v>-20.127317979567138</v>
      </c>
      <c r="BH40" s="970">
        <f t="shared" si="31"/>
        <v>-176.062453</v>
      </c>
      <c r="BI40" s="375">
        <f t="shared" si="32"/>
        <v>-4.879006239830886</v>
      </c>
    </row>
    <row r="41" spans="1:61" s="5" customFormat="1" ht="16.5" customHeight="1">
      <c r="A41" s="597"/>
      <c r="B41" s="655" t="s">
        <v>46</v>
      </c>
      <c r="C41" s="195"/>
      <c r="D41" s="656" t="s">
        <v>9</v>
      </c>
      <c r="E41" s="848">
        <v>261.302569</v>
      </c>
      <c r="F41" s="355">
        <v>239.372554</v>
      </c>
      <c r="G41" s="849">
        <v>249.2491</v>
      </c>
      <c r="H41" s="850">
        <f>E41+F41+G41</f>
        <v>749.924223</v>
      </c>
      <c r="I41" s="851">
        <v>233.199711</v>
      </c>
      <c r="J41" s="857">
        <v>183.612392</v>
      </c>
      <c r="K41" s="858">
        <v>240.624447</v>
      </c>
      <c r="L41" s="476">
        <f>I41+J41+K41</f>
        <v>657.43655</v>
      </c>
      <c r="M41" s="472"/>
      <c r="N41" s="471"/>
      <c r="O41" s="472"/>
      <c r="P41" s="476">
        <f>M41+N41+O41</f>
        <v>0</v>
      </c>
      <c r="Q41" s="475"/>
      <c r="R41" s="476"/>
      <c r="S41" s="470"/>
      <c r="T41" s="852">
        <f>Q41+R41+S41</f>
        <v>0</v>
      </c>
      <c r="U41" s="853">
        <f>(H41+L41+P41+T41)</f>
        <v>1407.3607729999999</v>
      </c>
      <c r="V41" s="854">
        <v>260.195982</v>
      </c>
      <c r="W41" s="355">
        <v>231.057679</v>
      </c>
      <c r="X41" s="855">
        <v>250.615215</v>
      </c>
      <c r="Y41" s="856">
        <f>V41+W41+X41</f>
        <v>741.868876</v>
      </c>
      <c r="Z41" s="857">
        <v>231.493738</v>
      </c>
      <c r="AA41" s="932">
        <v>194.220101</v>
      </c>
      <c r="AB41" s="858">
        <v>234.16867</v>
      </c>
      <c r="AC41" s="475">
        <f>Z41+AA41+AB41</f>
        <v>659.882509</v>
      </c>
      <c r="AD41" s="472">
        <v>226.975811</v>
      </c>
      <c r="AE41" s="472">
        <v>238.428194</v>
      </c>
      <c r="AF41" s="472">
        <v>132.269575</v>
      </c>
      <c r="AG41" s="475">
        <f>AD41+AE41+AF41</f>
        <v>597.67358</v>
      </c>
      <c r="AH41" s="475">
        <v>55.392406</v>
      </c>
      <c r="AI41" s="475">
        <v>253.025341</v>
      </c>
      <c r="AJ41" s="859">
        <v>263.255357</v>
      </c>
      <c r="AK41" s="860">
        <f>AH41+AI41+AJ41</f>
        <v>571.673104</v>
      </c>
      <c r="AL41" s="475">
        <f>(Y41+AC41+AG41+AK41)</f>
        <v>2571.098069</v>
      </c>
      <c r="AM41" s="133"/>
      <c r="AN41" s="272">
        <f t="shared" si="12"/>
        <v>1.1065869999999904</v>
      </c>
      <c r="AO41" s="332">
        <f t="shared" si="13"/>
        <v>0.42528981097025564</v>
      </c>
      <c r="AP41" s="698">
        <f t="shared" si="33"/>
        <v>491.253661</v>
      </c>
      <c r="AQ41" s="507">
        <f t="shared" si="14"/>
        <v>8.314875</v>
      </c>
      <c r="AR41" s="373">
        <f t="shared" si="15"/>
        <v>3.598614439470765</v>
      </c>
      <c r="AS41" s="372">
        <f t="shared" si="16"/>
        <v>916.1071119999999</v>
      </c>
      <c r="AT41" s="712">
        <f t="shared" si="17"/>
        <v>186.4835185421651</v>
      </c>
      <c r="AU41" s="740">
        <f t="shared" si="18"/>
        <v>973.362614</v>
      </c>
      <c r="AV41" s="741">
        <f t="shared" si="19"/>
        <v>1.7059730000000002</v>
      </c>
      <c r="AW41" s="373">
        <f t="shared" si="20"/>
        <v>0.7369413163132776</v>
      </c>
      <c r="AX41" s="741">
        <f t="shared" si="21"/>
        <v>433.9981589999999</v>
      </c>
      <c r="AY41" s="712">
        <f t="shared" si="22"/>
        <v>44.58751063146954</v>
      </c>
      <c r="AZ41" s="557">
        <f t="shared" si="23"/>
        <v>1167.582715</v>
      </c>
      <c r="BA41" s="795">
        <f t="shared" si="24"/>
        <v>-10.607709</v>
      </c>
      <c r="BB41" s="453">
        <f t="shared" si="25"/>
        <v>-5.461694719229911</v>
      </c>
      <c r="BC41" s="453">
        <f t="shared" si="26"/>
        <v>239.77805799999987</v>
      </c>
      <c r="BD41" s="765">
        <f t="shared" si="27"/>
        <v>20.536280206923067</v>
      </c>
      <c r="BE41" s="89">
        <f t="shared" si="28"/>
        <v>1401.751385</v>
      </c>
      <c r="BF41" s="967">
        <f t="shared" si="29"/>
        <v>6.455777000000012</v>
      </c>
      <c r="BG41" s="897">
        <f t="shared" si="30"/>
        <v>2.7568918591884994</v>
      </c>
      <c r="BH41" s="966">
        <f t="shared" si="31"/>
        <v>5.6093879999998535</v>
      </c>
      <c r="BI41" s="373">
        <f t="shared" si="32"/>
        <v>0.40016996309226727</v>
      </c>
    </row>
    <row r="42" spans="1:61" s="5" customFormat="1" ht="13.5" customHeight="1">
      <c r="A42" s="597"/>
      <c r="B42" s="655" t="s">
        <v>47</v>
      </c>
      <c r="C42" s="180"/>
      <c r="D42" s="656" t="s">
        <v>13</v>
      </c>
      <c r="E42" s="612">
        <v>77.266992</v>
      </c>
      <c r="F42" s="355">
        <f>F43</f>
        <v>67.455432</v>
      </c>
      <c r="G42" s="719">
        <v>0</v>
      </c>
      <c r="H42" s="230">
        <f>H43</f>
        <v>144.722424</v>
      </c>
      <c r="I42" s="281">
        <v>0</v>
      </c>
      <c r="J42" s="99">
        <v>0</v>
      </c>
      <c r="K42" s="535">
        <v>0</v>
      </c>
      <c r="L42" s="288">
        <f>I42+J42+K42</f>
        <v>0</v>
      </c>
      <c r="M42" s="251"/>
      <c r="N42" s="278"/>
      <c r="O42" s="251"/>
      <c r="P42" s="278">
        <f>P43</f>
        <v>0</v>
      </c>
      <c r="Q42" s="161"/>
      <c r="R42" s="288"/>
      <c r="S42" s="161"/>
      <c r="T42" s="388">
        <f>T43</f>
        <v>0</v>
      </c>
      <c r="U42" s="93">
        <f>H42+L42+P42+T42</f>
        <v>144.722424</v>
      </c>
      <c r="V42" s="575">
        <f aca="true" t="shared" si="61" ref="V42:AB42">V43</f>
        <v>75.915048</v>
      </c>
      <c r="W42" s="355">
        <f t="shared" si="61"/>
        <v>66.165528</v>
      </c>
      <c r="X42" s="533">
        <f t="shared" si="61"/>
        <v>35.96868</v>
      </c>
      <c r="Y42" s="809">
        <f t="shared" si="61"/>
        <v>178.049256</v>
      </c>
      <c r="Z42" s="835">
        <f t="shared" si="61"/>
        <v>0</v>
      </c>
      <c r="AA42" s="747">
        <f t="shared" si="61"/>
        <v>12.333829</v>
      </c>
      <c r="AB42" s="535">
        <f t="shared" si="61"/>
        <v>0</v>
      </c>
      <c r="AC42" s="161">
        <f>Z42+AA42+AB42</f>
        <v>12.333829</v>
      </c>
      <c r="AD42" s="251">
        <f aca="true" t="shared" si="62" ref="AD42:AK42">AD43</f>
        <v>12.333288</v>
      </c>
      <c r="AE42" s="251">
        <f t="shared" si="62"/>
        <v>40.266864</v>
      </c>
      <c r="AF42" s="251">
        <f t="shared" si="62"/>
        <v>58.905792</v>
      </c>
      <c r="AG42" s="251">
        <f t="shared" si="62"/>
        <v>111.505944</v>
      </c>
      <c r="AH42" s="161">
        <f t="shared" si="62"/>
        <v>81.714864</v>
      </c>
      <c r="AI42" s="161">
        <f t="shared" si="62"/>
        <v>63.041616</v>
      </c>
      <c r="AJ42" s="146">
        <f t="shared" si="62"/>
        <v>61.209192</v>
      </c>
      <c r="AK42" s="422">
        <f t="shared" si="62"/>
        <v>205.965672</v>
      </c>
      <c r="AL42" s="161">
        <f>Y42+AC42+AG42+AK42</f>
        <v>507.8547010000001</v>
      </c>
      <c r="AM42" s="133"/>
      <c r="AN42" s="272">
        <f t="shared" si="12"/>
        <v>1.3519440000000031</v>
      </c>
      <c r="AO42" s="332">
        <f t="shared" si="13"/>
        <v>1.7808643155965598</v>
      </c>
      <c r="AP42" s="351">
        <f t="shared" si="33"/>
        <v>142.080576</v>
      </c>
      <c r="AQ42" s="507">
        <f t="shared" si="14"/>
        <v>1.289904000000007</v>
      </c>
      <c r="AR42" s="373">
        <f t="shared" si="15"/>
        <v>1.9495106273466263</v>
      </c>
      <c r="AS42" s="372">
        <f t="shared" si="16"/>
        <v>2.6418479999999818</v>
      </c>
      <c r="AT42" s="712">
        <f t="shared" si="17"/>
        <v>1.859401245670611</v>
      </c>
      <c r="AU42" s="557">
        <f t="shared" si="18"/>
        <v>178.049256</v>
      </c>
      <c r="AV42" s="742">
        <f t="shared" si="19"/>
        <v>0</v>
      </c>
      <c r="AW42" s="878">
        <v>0</v>
      </c>
      <c r="AX42" s="742">
        <f t="shared" si="21"/>
        <v>-33.326832000000024</v>
      </c>
      <c r="AY42" s="765">
        <f t="shared" si="22"/>
        <v>-18.717759764185715</v>
      </c>
      <c r="AZ42" s="557">
        <f t="shared" si="23"/>
        <v>190.38308500000002</v>
      </c>
      <c r="BA42" s="795">
        <f t="shared" si="24"/>
        <v>-12.333829</v>
      </c>
      <c r="BB42" s="453">
        <f t="shared" si="25"/>
        <v>-100</v>
      </c>
      <c r="BC42" s="453">
        <f t="shared" si="26"/>
        <v>-45.66066100000003</v>
      </c>
      <c r="BD42" s="765">
        <f t="shared" si="27"/>
        <v>-23.983570284093275</v>
      </c>
      <c r="BE42" s="89">
        <f t="shared" si="28"/>
        <v>190.38308500000002</v>
      </c>
      <c r="BF42" s="974">
        <f t="shared" si="29"/>
        <v>0</v>
      </c>
      <c r="BG42" s="974">
        <v>0</v>
      </c>
      <c r="BH42" s="966">
        <f t="shared" si="31"/>
        <v>-45.66066100000003</v>
      </c>
      <c r="BI42" s="373">
        <f t="shared" si="32"/>
        <v>-23.983570284093275</v>
      </c>
    </row>
    <row r="43" spans="1:61" s="5" customFormat="1" ht="14.25" customHeight="1" hidden="1">
      <c r="A43" s="409"/>
      <c r="B43" s="651"/>
      <c r="C43" s="181"/>
      <c r="D43" s="657" t="s">
        <v>121</v>
      </c>
      <c r="E43" s="612">
        <v>77.266992</v>
      </c>
      <c r="F43" s="355">
        <v>67.455432</v>
      </c>
      <c r="G43" s="226"/>
      <c r="H43" s="242">
        <f>E43+F43+G43</f>
        <v>144.722424</v>
      </c>
      <c r="I43" s="113">
        <v>0</v>
      </c>
      <c r="J43" s="99">
        <v>0</v>
      </c>
      <c r="K43" s="535"/>
      <c r="L43" s="288">
        <f>I43+J43+K43</f>
        <v>0</v>
      </c>
      <c r="M43" s="251"/>
      <c r="N43" s="278"/>
      <c r="O43" s="251"/>
      <c r="P43" s="288">
        <f>M43+N43+O43</f>
        <v>0</v>
      </c>
      <c r="Q43" s="161"/>
      <c r="R43" s="288"/>
      <c r="S43" s="161"/>
      <c r="T43" s="388">
        <f>Q43+R43+S43</f>
        <v>0</v>
      </c>
      <c r="U43" s="93">
        <f>H43+L43+P43+T43</f>
        <v>144.722424</v>
      </c>
      <c r="V43" s="568">
        <v>75.915048</v>
      </c>
      <c r="W43" s="354">
        <v>66.165528</v>
      </c>
      <c r="X43" s="526">
        <v>35.96868</v>
      </c>
      <c r="Y43" s="808">
        <f>V43+W43+X43</f>
        <v>178.049256</v>
      </c>
      <c r="Z43" s="99">
        <v>0</v>
      </c>
      <c r="AA43" s="747">
        <v>12.333829</v>
      </c>
      <c r="AB43" s="535"/>
      <c r="AC43" s="161">
        <f>Z43+AA43+AB43</f>
        <v>12.333829</v>
      </c>
      <c r="AD43" s="251">
        <v>12.333288</v>
      </c>
      <c r="AE43" s="251">
        <v>40.266864</v>
      </c>
      <c r="AF43" s="251">
        <v>58.905792</v>
      </c>
      <c r="AG43" s="161">
        <f>AD43+AE43+AF43</f>
        <v>111.505944</v>
      </c>
      <c r="AH43" s="161">
        <v>81.714864</v>
      </c>
      <c r="AI43" s="161">
        <v>63.041616</v>
      </c>
      <c r="AJ43" s="146">
        <v>61.209192</v>
      </c>
      <c r="AK43" s="422">
        <f>AH43+AI43+AJ43</f>
        <v>205.965672</v>
      </c>
      <c r="AL43" s="161">
        <f>Y43+AC43+AG43+AK43</f>
        <v>507.8547010000001</v>
      </c>
      <c r="AM43" s="201"/>
      <c r="AN43" s="272">
        <f t="shared" si="12"/>
        <v>1.3519440000000031</v>
      </c>
      <c r="AO43" s="332">
        <f t="shared" si="13"/>
        <v>1.7808643155965598</v>
      </c>
      <c r="AP43" s="351">
        <f t="shared" si="33"/>
        <v>142.080576</v>
      </c>
      <c r="AQ43" s="507">
        <f t="shared" si="14"/>
        <v>1.289904000000007</v>
      </c>
      <c r="AR43" s="373">
        <f t="shared" si="15"/>
        <v>1.9495106273466263</v>
      </c>
      <c r="AS43" s="372">
        <f t="shared" si="16"/>
        <v>2.6418479999999818</v>
      </c>
      <c r="AT43" s="712">
        <f t="shared" si="17"/>
        <v>1.859401245670611</v>
      </c>
      <c r="AU43" s="557">
        <f t="shared" si="18"/>
        <v>178.049256</v>
      </c>
      <c r="AV43" s="742">
        <f t="shared" si="19"/>
        <v>0</v>
      </c>
      <c r="AW43" s="878">
        <v>0</v>
      </c>
      <c r="AX43" s="742">
        <f t="shared" si="21"/>
        <v>-33.326832000000024</v>
      </c>
      <c r="AY43" s="765">
        <f t="shared" si="22"/>
        <v>-18.717759764185715</v>
      </c>
      <c r="AZ43" s="557">
        <f t="shared" si="23"/>
        <v>190.38308500000002</v>
      </c>
      <c r="BA43" s="795">
        <f t="shared" si="24"/>
        <v>-12.333829</v>
      </c>
      <c r="BB43" s="453">
        <f t="shared" si="25"/>
        <v>-100</v>
      </c>
      <c r="BC43" s="453">
        <f t="shared" si="26"/>
        <v>-45.66066100000003</v>
      </c>
      <c r="BD43" s="765">
        <f t="shared" si="27"/>
        <v>-23.983570284093275</v>
      </c>
      <c r="BE43" s="89">
        <f t="shared" si="28"/>
        <v>190.38308500000002</v>
      </c>
      <c r="BF43" s="967">
        <f t="shared" si="29"/>
        <v>0</v>
      </c>
      <c r="BG43" s="897" t="e">
        <f t="shared" si="30"/>
        <v>#DIV/0!</v>
      </c>
      <c r="BH43" s="966">
        <f t="shared" si="31"/>
        <v>-45.66066100000003</v>
      </c>
      <c r="BI43" s="373">
        <f t="shared" si="32"/>
        <v>-23.983570284093275</v>
      </c>
    </row>
    <row r="44" spans="1:61" s="5" customFormat="1" ht="14.25" customHeight="1">
      <c r="A44" s="409"/>
      <c r="B44" s="449" t="s">
        <v>48</v>
      </c>
      <c r="C44" s="178"/>
      <c r="D44" s="634" t="s">
        <v>110</v>
      </c>
      <c r="E44" s="524">
        <v>1.37302</v>
      </c>
      <c r="F44" s="354">
        <v>1.48027</v>
      </c>
      <c r="G44" s="226">
        <v>4.69931</v>
      </c>
      <c r="H44" s="242">
        <f>E44+F44+G44</f>
        <v>7.5526</v>
      </c>
      <c r="I44" s="113">
        <v>0</v>
      </c>
      <c r="J44" s="99">
        <v>0</v>
      </c>
      <c r="K44" s="751">
        <v>0.09746</v>
      </c>
      <c r="L44" s="288">
        <f>I44+J44+K44</f>
        <v>0.09746</v>
      </c>
      <c r="M44" s="251"/>
      <c r="N44" s="113"/>
      <c r="O44" s="251"/>
      <c r="P44" s="288">
        <f>M44+N44+O44</f>
        <v>0</v>
      </c>
      <c r="Q44" s="161"/>
      <c r="R44" s="288"/>
      <c r="S44" s="166"/>
      <c r="T44" s="388">
        <f>Q44+R44+S44</f>
        <v>0</v>
      </c>
      <c r="U44" s="93">
        <f>H44+L44+P44+T44</f>
        <v>7.65006</v>
      </c>
      <c r="V44" s="568">
        <v>1.54572</v>
      </c>
      <c r="W44" s="354">
        <v>0.57849</v>
      </c>
      <c r="X44" s="534">
        <v>0</v>
      </c>
      <c r="Y44" s="808">
        <f>V44+W44+X44</f>
        <v>2.1242099999999997</v>
      </c>
      <c r="Z44" s="99">
        <v>0</v>
      </c>
      <c r="AA44" s="933">
        <v>0</v>
      </c>
      <c r="AB44" s="535">
        <v>0</v>
      </c>
      <c r="AC44" s="161">
        <f>Z44+AA44+AB44</f>
        <v>0</v>
      </c>
      <c r="AD44" s="251">
        <v>2.12234</v>
      </c>
      <c r="AE44" s="112">
        <v>125.75937</v>
      </c>
      <c r="AF44" s="251">
        <v>193.27913</v>
      </c>
      <c r="AG44" s="161">
        <f>AD44+AE44+AF44</f>
        <v>321.16084</v>
      </c>
      <c r="AH44" s="161">
        <v>160.62475</v>
      </c>
      <c r="AI44" s="161">
        <v>57.29471</v>
      </c>
      <c r="AJ44" s="209">
        <v>74.52808</v>
      </c>
      <c r="AK44" s="422">
        <f>AH44+AI44+AJ44</f>
        <v>292.44754</v>
      </c>
      <c r="AL44" s="161">
        <f>Y44+AC44+AG44+AK44</f>
        <v>615.7325900000001</v>
      </c>
      <c r="AM44" s="126"/>
      <c r="AN44" s="272">
        <f t="shared" si="12"/>
        <v>-0.17270000000000008</v>
      </c>
      <c r="AO44" s="332">
        <f t="shared" si="13"/>
        <v>-11.17278679191574</v>
      </c>
      <c r="AP44" s="351">
        <f t="shared" si="33"/>
        <v>2.1242099999999997</v>
      </c>
      <c r="AQ44" s="507">
        <f t="shared" si="14"/>
        <v>0.90178</v>
      </c>
      <c r="AR44" s="373">
        <f t="shared" si="15"/>
        <v>155.88514926792166</v>
      </c>
      <c r="AS44" s="372">
        <f t="shared" si="16"/>
        <v>5.52585</v>
      </c>
      <c r="AT44" s="712">
        <f t="shared" si="17"/>
        <v>260.13670964735127</v>
      </c>
      <c r="AU44" s="557">
        <f t="shared" si="18"/>
        <v>2.1242099999999997</v>
      </c>
      <c r="AV44" s="742">
        <f t="shared" si="19"/>
        <v>0</v>
      </c>
      <c r="AW44" s="878">
        <v>0</v>
      </c>
      <c r="AX44" s="742">
        <f t="shared" si="21"/>
        <v>5.52585</v>
      </c>
      <c r="AY44" s="765">
        <f t="shared" si="22"/>
        <v>260.13670964735127</v>
      </c>
      <c r="AZ44" s="557">
        <f t="shared" si="23"/>
        <v>2.1242099999999997</v>
      </c>
      <c r="BA44" s="795">
        <f t="shared" si="24"/>
        <v>0</v>
      </c>
      <c r="BB44" s="453" t="e">
        <f t="shared" si="25"/>
        <v>#DIV/0!</v>
      </c>
      <c r="BC44" s="453">
        <f t="shared" si="26"/>
        <v>5.52585</v>
      </c>
      <c r="BD44" s="765">
        <f t="shared" si="27"/>
        <v>260.13670964735127</v>
      </c>
      <c r="BE44" s="89">
        <f t="shared" si="28"/>
        <v>2.1242099999999997</v>
      </c>
      <c r="BF44" s="967">
        <f t="shared" si="29"/>
        <v>0.09746</v>
      </c>
      <c r="BG44" s="955">
        <v>0</v>
      </c>
      <c r="BH44" s="966">
        <f t="shared" si="31"/>
        <v>5.52585</v>
      </c>
      <c r="BI44" s="373">
        <f t="shared" si="32"/>
        <v>260.13670964735127</v>
      </c>
    </row>
    <row r="45" spans="1:61" s="5" customFormat="1" ht="14.25" customHeight="1" hidden="1">
      <c r="A45" s="409"/>
      <c r="B45" s="449" t="s">
        <v>53</v>
      </c>
      <c r="C45" s="178"/>
      <c r="D45" s="654" t="s">
        <v>16</v>
      </c>
      <c r="E45" s="613"/>
      <c r="F45" s="352"/>
      <c r="G45" s="112"/>
      <c r="H45" s="112">
        <v>0</v>
      </c>
      <c r="I45" s="113"/>
      <c r="J45" s="99"/>
      <c r="K45" s="535"/>
      <c r="L45" s="113">
        <v>0</v>
      </c>
      <c r="M45" s="112"/>
      <c r="N45" s="113"/>
      <c r="O45" s="112"/>
      <c r="P45" s="113">
        <v>0</v>
      </c>
      <c r="Q45" s="112"/>
      <c r="R45" s="113"/>
      <c r="S45" s="112"/>
      <c r="T45" s="101">
        <v>0</v>
      </c>
      <c r="U45" s="93">
        <v>0</v>
      </c>
      <c r="V45" s="576">
        <v>0</v>
      </c>
      <c r="W45" s="352">
        <v>0</v>
      </c>
      <c r="X45" s="535">
        <v>0</v>
      </c>
      <c r="Y45" s="101">
        <v>0</v>
      </c>
      <c r="Z45" s="99">
        <v>0</v>
      </c>
      <c r="AA45" s="933">
        <v>0</v>
      </c>
      <c r="AB45" s="535">
        <v>0</v>
      </c>
      <c r="AC45" s="112">
        <v>0</v>
      </c>
      <c r="AD45" s="112">
        <v>0</v>
      </c>
      <c r="AE45" s="112">
        <v>0</v>
      </c>
      <c r="AF45" s="112">
        <v>0</v>
      </c>
      <c r="AG45" s="112">
        <v>0</v>
      </c>
      <c r="AH45" s="112">
        <v>0</v>
      </c>
      <c r="AI45" s="112">
        <v>0</v>
      </c>
      <c r="AJ45" s="99">
        <v>0</v>
      </c>
      <c r="AK45" s="423">
        <v>0</v>
      </c>
      <c r="AL45" s="112">
        <v>0</v>
      </c>
      <c r="AM45" s="100">
        <v>0</v>
      </c>
      <c r="AN45" s="272">
        <f t="shared" si="12"/>
        <v>0</v>
      </c>
      <c r="AO45" s="332" t="e">
        <f t="shared" si="13"/>
        <v>#DIV/0!</v>
      </c>
      <c r="AP45" s="351">
        <f t="shared" si="33"/>
        <v>0</v>
      </c>
      <c r="AQ45" s="507">
        <f t="shared" si="14"/>
        <v>0</v>
      </c>
      <c r="AR45" s="373" t="e">
        <f t="shared" si="15"/>
        <v>#DIV/0!</v>
      </c>
      <c r="AS45" s="372">
        <f t="shared" si="16"/>
        <v>0</v>
      </c>
      <c r="AT45" s="712" t="e">
        <f t="shared" si="17"/>
        <v>#DIV/0!</v>
      </c>
      <c r="AU45" s="557">
        <f t="shared" si="18"/>
        <v>0</v>
      </c>
      <c r="AV45" s="742">
        <f t="shared" si="19"/>
        <v>0</v>
      </c>
      <c r="AW45" s="709" t="e">
        <f t="shared" si="20"/>
        <v>#DIV/0!</v>
      </c>
      <c r="AX45" s="742">
        <f t="shared" si="21"/>
        <v>0</v>
      </c>
      <c r="AY45" s="765" t="e">
        <f t="shared" si="22"/>
        <v>#DIV/0!</v>
      </c>
      <c r="AZ45" s="557">
        <f t="shared" si="23"/>
        <v>0</v>
      </c>
      <c r="BA45" s="795">
        <f t="shared" si="24"/>
        <v>0</v>
      </c>
      <c r="BB45" s="453" t="e">
        <f t="shared" si="25"/>
        <v>#DIV/0!</v>
      </c>
      <c r="BC45" s="453">
        <f t="shared" si="26"/>
        <v>0</v>
      </c>
      <c r="BD45" s="765" t="e">
        <f t="shared" si="27"/>
        <v>#DIV/0!</v>
      </c>
      <c r="BE45" s="89">
        <f t="shared" si="28"/>
        <v>0</v>
      </c>
      <c r="BF45" s="967">
        <f t="shared" si="29"/>
        <v>0</v>
      </c>
      <c r="BG45" s="897" t="e">
        <f t="shared" si="30"/>
        <v>#DIV/0!</v>
      </c>
      <c r="BH45" s="966">
        <f t="shared" si="31"/>
        <v>0</v>
      </c>
      <c r="BI45" s="373" t="e">
        <f t="shared" si="32"/>
        <v>#DIV/0!</v>
      </c>
    </row>
    <row r="46" spans="1:61" s="5" customFormat="1" ht="12.75" customHeight="1">
      <c r="A46" s="409"/>
      <c r="B46" s="449" t="s">
        <v>53</v>
      </c>
      <c r="C46" s="179"/>
      <c r="D46" s="645" t="s">
        <v>17</v>
      </c>
      <c r="E46" s="524">
        <v>150.908949</v>
      </c>
      <c r="F46" s="354">
        <v>138.095938</v>
      </c>
      <c r="G46" s="226">
        <v>145.338942</v>
      </c>
      <c r="H46" s="242">
        <f>E46+F46+G46</f>
        <v>434.343829</v>
      </c>
      <c r="I46" s="278">
        <v>135.338015</v>
      </c>
      <c r="J46" s="127">
        <v>71.338848</v>
      </c>
      <c r="K46" s="751">
        <v>2.095283</v>
      </c>
      <c r="L46" s="288">
        <f>I46+J46+K46</f>
        <v>208.77214600000002</v>
      </c>
      <c r="M46" s="251"/>
      <c r="N46" s="278"/>
      <c r="O46" s="251"/>
      <c r="P46" s="288">
        <f>M46+N46+O46</f>
        <v>0</v>
      </c>
      <c r="Q46" s="161"/>
      <c r="R46" s="288"/>
      <c r="S46" s="166"/>
      <c r="T46" s="388">
        <f>Q46+R46+S46</f>
        <v>0</v>
      </c>
      <c r="U46" s="93">
        <f>(H46+L46+P46+T46)</f>
        <v>643.115975</v>
      </c>
      <c r="V46" s="568">
        <v>149.824216</v>
      </c>
      <c r="W46" s="354">
        <v>133.300457</v>
      </c>
      <c r="X46" s="526">
        <v>145.557149</v>
      </c>
      <c r="Y46" s="808">
        <f>V46+W46+X46</f>
        <v>428.681822</v>
      </c>
      <c r="Z46" s="127">
        <v>133.309339</v>
      </c>
      <c r="AA46" s="747">
        <v>134.593317</v>
      </c>
      <c r="AB46" s="751">
        <v>132.101658</v>
      </c>
      <c r="AC46" s="161">
        <f>Z46+AA46+AB46</f>
        <v>400.00431399999997</v>
      </c>
      <c r="AD46" s="251">
        <v>134.755022</v>
      </c>
      <c r="AE46" s="251">
        <v>71.574562</v>
      </c>
      <c r="AF46" s="251">
        <v>101.598737</v>
      </c>
      <c r="AG46" s="161">
        <f>AD46+AE46+AF46</f>
        <v>307.928321</v>
      </c>
      <c r="AH46" s="161">
        <v>145.469367</v>
      </c>
      <c r="AI46" s="161">
        <v>114.845824</v>
      </c>
      <c r="AJ46" s="209">
        <v>144.330015</v>
      </c>
      <c r="AK46" s="422">
        <f>AH46+AI46+AJ46</f>
        <v>404.64520600000003</v>
      </c>
      <c r="AL46" s="161">
        <f>(Y46+AC46+AG46+AK46)</f>
        <v>1541.2596630000003</v>
      </c>
      <c r="AM46" s="126"/>
      <c r="AN46" s="272">
        <f t="shared" si="12"/>
        <v>1.084733</v>
      </c>
      <c r="AO46" s="332">
        <f t="shared" si="13"/>
        <v>0.7240037885464403</v>
      </c>
      <c r="AP46" s="351">
        <f t="shared" si="33"/>
        <v>283.12467300000003</v>
      </c>
      <c r="AQ46" s="507">
        <f t="shared" si="14"/>
        <v>4.795480999999995</v>
      </c>
      <c r="AR46" s="373">
        <f t="shared" si="15"/>
        <v>3.597497794024804</v>
      </c>
      <c r="AS46" s="372">
        <f t="shared" si="16"/>
        <v>359.991302</v>
      </c>
      <c r="AT46" s="712">
        <f t="shared" si="17"/>
        <v>127.14939259285254</v>
      </c>
      <c r="AU46" s="557">
        <f t="shared" si="18"/>
        <v>561.991161</v>
      </c>
      <c r="AV46" s="742">
        <f t="shared" si="19"/>
        <v>2.0286760000000186</v>
      </c>
      <c r="AW46" s="709">
        <f t="shared" si="20"/>
        <v>1.52178085587839</v>
      </c>
      <c r="AX46" s="742">
        <f t="shared" si="21"/>
        <v>81.12481400000001</v>
      </c>
      <c r="AY46" s="765">
        <f t="shared" si="22"/>
        <v>14.435247318774103</v>
      </c>
      <c r="AZ46" s="557">
        <f t="shared" si="23"/>
        <v>696.584478</v>
      </c>
      <c r="BA46" s="795">
        <f t="shared" si="24"/>
        <v>-63.254469000000014</v>
      </c>
      <c r="BB46" s="453">
        <f t="shared" si="25"/>
        <v>-46.99673832988306</v>
      </c>
      <c r="BC46" s="453">
        <f t="shared" si="26"/>
        <v>-53.46850299999994</v>
      </c>
      <c r="BD46" s="765">
        <f t="shared" si="27"/>
        <v>-7.675810284133249</v>
      </c>
      <c r="BE46" s="89">
        <f t="shared" si="28"/>
        <v>828.686136</v>
      </c>
      <c r="BF46" s="967">
        <f t="shared" si="29"/>
        <v>-130.006375</v>
      </c>
      <c r="BG46" s="897">
        <f t="shared" si="30"/>
        <v>-98.41388591807076</v>
      </c>
      <c r="BH46" s="966">
        <f t="shared" si="31"/>
        <v>-185.57016099999998</v>
      </c>
      <c r="BI46" s="373">
        <f t="shared" si="32"/>
        <v>-22.3932986131193</v>
      </c>
    </row>
    <row r="47" spans="1:61" s="5" customFormat="1" ht="12.75" customHeight="1">
      <c r="A47" s="409"/>
      <c r="B47" s="449" t="s">
        <v>49</v>
      </c>
      <c r="C47" s="179"/>
      <c r="D47" s="654" t="s">
        <v>3</v>
      </c>
      <c r="E47" s="524">
        <v>16.37183</v>
      </c>
      <c r="F47" s="214">
        <f>F48</f>
        <v>23.23622</v>
      </c>
      <c r="G47" s="226">
        <v>31.078965</v>
      </c>
      <c r="H47" s="226">
        <f>H48</f>
        <v>70.687015</v>
      </c>
      <c r="I47" s="278">
        <v>49.637494</v>
      </c>
      <c r="J47" s="127">
        <v>43.961316</v>
      </c>
      <c r="K47" s="751">
        <v>47.180354</v>
      </c>
      <c r="L47" s="278">
        <f>L48</f>
        <v>140.77916399999998</v>
      </c>
      <c r="M47" s="251"/>
      <c r="N47" s="278"/>
      <c r="O47" s="251"/>
      <c r="P47" s="278">
        <f>P48</f>
        <v>0</v>
      </c>
      <c r="Q47" s="161"/>
      <c r="R47" s="288"/>
      <c r="S47" s="161"/>
      <c r="T47" s="388">
        <f>T48</f>
        <v>0</v>
      </c>
      <c r="U47" s="93">
        <f>(H47+L47+P47+T47)</f>
        <v>211.46617899999998</v>
      </c>
      <c r="V47" s="568">
        <f>V48</f>
        <v>17.859284</v>
      </c>
      <c r="W47" s="214">
        <f>W48</f>
        <v>14.610188</v>
      </c>
      <c r="X47" s="526">
        <f>X48</f>
        <v>21.57992</v>
      </c>
      <c r="Y47" s="810">
        <f aca="true" t="shared" si="63" ref="Y47:AK47">Y48</f>
        <v>54.049392</v>
      </c>
      <c r="Z47" s="127">
        <f>Z48</f>
        <v>49.074684</v>
      </c>
      <c r="AA47" s="747">
        <f>AA48</f>
        <v>72.248567</v>
      </c>
      <c r="AB47" s="751">
        <f>AB48</f>
        <v>79.76125</v>
      </c>
      <c r="AC47" s="251">
        <f t="shared" si="63"/>
        <v>201.084501</v>
      </c>
      <c r="AD47" s="251">
        <f t="shared" si="63"/>
        <v>72.130481</v>
      </c>
      <c r="AE47" s="251">
        <f t="shared" si="63"/>
        <v>69.661429</v>
      </c>
      <c r="AF47" s="251">
        <f t="shared" si="63"/>
        <v>16.504357</v>
      </c>
      <c r="AG47" s="251">
        <f t="shared" si="63"/>
        <v>158.296267</v>
      </c>
      <c r="AH47" s="161">
        <f t="shared" si="63"/>
        <v>5.684877</v>
      </c>
      <c r="AI47" s="161">
        <f t="shared" si="63"/>
        <v>9.889553</v>
      </c>
      <c r="AJ47" s="146">
        <f t="shared" si="63"/>
        <v>15.306504</v>
      </c>
      <c r="AK47" s="422">
        <f t="shared" si="63"/>
        <v>30.880934</v>
      </c>
      <c r="AL47" s="161">
        <f>(Y47+AC47+AG47+AK47)</f>
        <v>444.311094</v>
      </c>
      <c r="AM47" s="126"/>
      <c r="AN47" s="272">
        <f t="shared" si="12"/>
        <v>-1.4874539999999996</v>
      </c>
      <c r="AO47" s="332">
        <f t="shared" si="13"/>
        <v>-8.328743750309371</v>
      </c>
      <c r="AP47" s="351">
        <f t="shared" si="33"/>
        <v>32.469471999999996</v>
      </c>
      <c r="AQ47" s="507">
        <f t="shared" si="14"/>
        <v>8.626031999999999</v>
      </c>
      <c r="AR47" s="373">
        <f t="shared" si="15"/>
        <v>59.04121151623784</v>
      </c>
      <c r="AS47" s="372">
        <f t="shared" si="16"/>
        <v>178.996707</v>
      </c>
      <c r="AT47" s="712">
        <f t="shared" si="17"/>
        <v>551.2769255995292</v>
      </c>
      <c r="AU47" s="557">
        <f t="shared" si="18"/>
        <v>103.124076</v>
      </c>
      <c r="AV47" s="742">
        <f t="shared" si="19"/>
        <v>0.5628099999999989</v>
      </c>
      <c r="AW47" s="709">
        <f t="shared" si="20"/>
        <v>1.146843859453071</v>
      </c>
      <c r="AX47" s="742">
        <f t="shared" si="21"/>
        <v>108.34210299999998</v>
      </c>
      <c r="AY47" s="765">
        <f t="shared" si="22"/>
        <v>105.0599503068517</v>
      </c>
      <c r="AZ47" s="557">
        <f t="shared" si="23"/>
        <v>175.37264299999998</v>
      </c>
      <c r="BA47" s="795">
        <f t="shared" si="24"/>
        <v>-28.287250999999998</v>
      </c>
      <c r="BB47" s="453">
        <f t="shared" si="25"/>
        <v>-39.15268104902344</v>
      </c>
      <c r="BC47" s="453">
        <f t="shared" si="26"/>
        <v>36.093536</v>
      </c>
      <c r="BD47" s="765">
        <f t="shared" si="27"/>
        <v>20.581052655972115</v>
      </c>
      <c r="BE47" s="89">
        <f t="shared" si="28"/>
        <v>255.133893</v>
      </c>
      <c r="BF47" s="967">
        <f t="shared" si="29"/>
        <v>-32.580896</v>
      </c>
      <c r="BG47" s="897">
        <f t="shared" si="30"/>
        <v>-40.848025827077684</v>
      </c>
      <c r="BH47" s="966">
        <f t="shared" si="31"/>
        <v>-43.66771400000002</v>
      </c>
      <c r="BI47" s="373">
        <f t="shared" si="32"/>
        <v>-17.115606823747257</v>
      </c>
    </row>
    <row r="48" spans="1:61" s="5" customFormat="1" ht="15.75" customHeight="1">
      <c r="A48" s="409"/>
      <c r="B48" s="658"/>
      <c r="C48" s="182"/>
      <c r="D48" s="659" t="s">
        <v>97</v>
      </c>
      <c r="E48" s="524">
        <v>16.37183</v>
      </c>
      <c r="F48" s="214">
        <v>23.23622</v>
      </c>
      <c r="G48" s="226">
        <v>31.078965</v>
      </c>
      <c r="H48" s="242">
        <f>E48+F48+G48</f>
        <v>70.687015</v>
      </c>
      <c r="I48" s="278">
        <v>49.637494</v>
      </c>
      <c r="J48" s="127">
        <v>43.961316</v>
      </c>
      <c r="K48" s="751">
        <v>47.180354</v>
      </c>
      <c r="L48" s="288">
        <f>I48+J48+K48</f>
        <v>140.77916399999998</v>
      </c>
      <c r="M48" s="251"/>
      <c r="N48" s="278"/>
      <c r="O48" s="251"/>
      <c r="P48" s="288">
        <f>M48+N48+O48</f>
        <v>0</v>
      </c>
      <c r="Q48" s="161"/>
      <c r="R48" s="288"/>
      <c r="S48" s="161"/>
      <c r="T48" s="388">
        <f>Q48+R48+S48</f>
        <v>0</v>
      </c>
      <c r="U48" s="93">
        <f>(H48+L48+P48+T48)</f>
        <v>211.46617899999998</v>
      </c>
      <c r="V48" s="568">
        <v>17.859284</v>
      </c>
      <c r="W48" s="354">
        <v>14.610188</v>
      </c>
      <c r="X48" s="526">
        <v>21.57992</v>
      </c>
      <c r="Y48" s="808">
        <f>V48+W48+X48</f>
        <v>54.049392</v>
      </c>
      <c r="Z48" s="127">
        <v>49.074684</v>
      </c>
      <c r="AA48" s="747">
        <v>72.248567</v>
      </c>
      <c r="AB48" s="751">
        <v>79.76125</v>
      </c>
      <c r="AC48" s="161">
        <f>Z48+AA48+AB48</f>
        <v>201.084501</v>
      </c>
      <c r="AD48" s="251">
        <v>72.130481</v>
      </c>
      <c r="AE48" s="251">
        <v>69.661429</v>
      </c>
      <c r="AF48" s="251">
        <v>16.504357</v>
      </c>
      <c r="AG48" s="161">
        <f>AD48+AE48+AF48</f>
        <v>158.296267</v>
      </c>
      <c r="AH48" s="161">
        <v>5.684877</v>
      </c>
      <c r="AI48" s="161">
        <v>9.889553</v>
      </c>
      <c r="AJ48" s="146">
        <v>15.306504</v>
      </c>
      <c r="AK48" s="422">
        <f>AH48+AI48+AJ48</f>
        <v>30.880934</v>
      </c>
      <c r="AL48" s="161">
        <f>(Y48+AC48+AG48+AK48)</f>
        <v>444.311094</v>
      </c>
      <c r="AM48" s="147"/>
      <c r="AN48" s="272">
        <f t="shared" si="12"/>
        <v>-1.4874539999999996</v>
      </c>
      <c r="AO48" s="332">
        <f t="shared" si="13"/>
        <v>-8.328743750309371</v>
      </c>
      <c r="AP48" s="351">
        <f t="shared" si="33"/>
        <v>32.469471999999996</v>
      </c>
      <c r="AQ48" s="507">
        <f t="shared" si="14"/>
        <v>8.626031999999999</v>
      </c>
      <c r="AR48" s="373">
        <f t="shared" si="15"/>
        <v>59.04121151623784</v>
      </c>
      <c r="AS48" s="372">
        <f t="shared" si="16"/>
        <v>178.996707</v>
      </c>
      <c r="AT48" s="712">
        <f t="shared" si="17"/>
        <v>551.2769255995292</v>
      </c>
      <c r="AU48" s="557">
        <f t="shared" si="18"/>
        <v>103.124076</v>
      </c>
      <c r="AV48" s="742">
        <f t="shared" si="19"/>
        <v>0.5628099999999989</v>
      </c>
      <c r="AW48" s="709">
        <f t="shared" si="20"/>
        <v>1.146843859453071</v>
      </c>
      <c r="AX48" s="742">
        <f t="shared" si="21"/>
        <v>108.34210299999998</v>
      </c>
      <c r="AY48" s="765">
        <f t="shared" si="22"/>
        <v>105.0599503068517</v>
      </c>
      <c r="AZ48" s="557">
        <f t="shared" si="23"/>
        <v>175.37264299999998</v>
      </c>
      <c r="BA48" s="795">
        <f t="shared" si="24"/>
        <v>-28.287250999999998</v>
      </c>
      <c r="BB48" s="453">
        <f t="shared" si="25"/>
        <v>-39.15268104902344</v>
      </c>
      <c r="BC48" s="453">
        <f t="shared" si="26"/>
        <v>36.093536</v>
      </c>
      <c r="BD48" s="765">
        <f t="shared" si="27"/>
        <v>20.581052655972115</v>
      </c>
      <c r="BE48" s="89">
        <f t="shared" si="28"/>
        <v>255.133893</v>
      </c>
      <c r="BF48" s="967">
        <f t="shared" si="29"/>
        <v>-32.580896</v>
      </c>
      <c r="BG48" s="897">
        <f t="shared" si="30"/>
        <v>-40.848025827077684</v>
      </c>
      <c r="BH48" s="966">
        <f t="shared" si="31"/>
        <v>-43.66771400000002</v>
      </c>
      <c r="BI48" s="373">
        <f t="shared" si="32"/>
        <v>-17.115606823747257</v>
      </c>
    </row>
    <row r="49" spans="1:61" s="5" customFormat="1" ht="17.25" customHeight="1">
      <c r="A49" s="409"/>
      <c r="B49" s="449" t="s">
        <v>50</v>
      </c>
      <c r="C49" s="179"/>
      <c r="D49" s="641" t="s">
        <v>147</v>
      </c>
      <c r="E49" s="524">
        <v>95.177651</v>
      </c>
      <c r="F49" s="354">
        <v>73.849676</v>
      </c>
      <c r="G49" s="226">
        <v>65.296514</v>
      </c>
      <c r="H49" s="242">
        <f>E49+F49+G49</f>
        <v>234.32384100000002</v>
      </c>
      <c r="I49" s="278">
        <v>77.213239</v>
      </c>
      <c r="J49" s="127">
        <v>57.195234</v>
      </c>
      <c r="K49" s="751">
        <v>59.420239</v>
      </c>
      <c r="L49" s="288">
        <f>I49+J49+K49</f>
        <v>193.82871200000002</v>
      </c>
      <c r="M49" s="251"/>
      <c r="N49" s="278"/>
      <c r="O49" s="251"/>
      <c r="P49" s="288">
        <f>M49+N49+O49</f>
        <v>0</v>
      </c>
      <c r="Q49" s="161"/>
      <c r="R49" s="288"/>
      <c r="S49" s="166"/>
      <c r="T49" s="388">
        <f>Q49+R49+S49</f>
        <v>0</v>
      </c>
      <c r="U49" s="93">
        <f>(H49+L49+P49+T49)</f>
        <v>428.152553</v>
      </c>
      <c r="V49" s="568">
        <v>65.377124</v>
      </c>
      <c r="W49" s="354">
        <v>64.552851</v>
      </c>
      <c r="X49" s="526">
        <v>57.018237</v>
      </c>
      <c r="Y49" s="808">
        <f>V49+W49+X49</f>
        <v>186.948212</v>
      </c>
      <c r="Z49" s="127">
        <v>92.014671</v>
      </c>
      <c r="AA49" s="747">
        <v>81.736132</v>
      </c>
      <c r="AB49" s="751">
        <v>45.77374</v>
      </c>
      <c r="AC49" s="251">
        <f>Z49+AA49+AB49</f>
        <v>219.52454300000002</v>
      </c>
      <c r="AD49" s="251">
        <v>69.993859</v>
      </c>
      <c r="AE49" s="251">
        <v>73.554831</v>
      </c>
      <c r="AF49" s="251">
        <v>94.734276</v>
      </c>
      <c r="AG49" s="251">
        <f>AD49+AE49+AF49</f>
        <v>238.282966</v>
      </c>
      <c r="AH49" s="251">
        <v>88.749465</v>
      </c>
      <c r="AI49" s="251">
        <v>83.599411</v>
      </c>
      <c r="AJ49" s="117">
        <v>92.461883</v>
      </c>
      <c r="AK49" s="424">
        <f>AH49+AI49+AJ49</f>
        <v>264.810759</v>
      </c>
      <c r="AL49" s="251">
        <f>(Y49+AC49+AG49+AK49)</f>
        <v>909.56648</v>
      </c>
      <c r="AM49" s="126"/>
      <c r="AN49" s="403">
        <f t="shared" si="12"/>
        <v>29.800527000000002</v>
      </c>
      <c r="AO49" s="404">
        <v>0</v>
      </c>
      <c r="AP49" s="351">
        <f t="shared" si="33"/>
        <v>129.929975</v>
      </c>
      <c r="AQ49" s="507">
        <f t="shared" si="14"/>
        <v>9.296824999999998</v>
      </c>
      <c r="AR49" s="373">
        <f t="shared" si="15"/>
        <v>14.401881335961434</v>
      </c>
      <c r="AS49" s="372">
        <f t="shared" si="16"/>
        <v>298.222578</v>
      </c>
      <c r="AT49" s="712">
        <f t="shared" si="17"/>
        <v>229.52561793381392</v>
      </c>
      <c r="AU49" s="557">
        <f t="shared" si="18"/>
        <v>278.96288300000003</v>
      </c>
      <c r="AV49" s="742">
        <f t="shared" si="19"/>
        <v>-14.801432000000005</v>
      </c>
      <c r="AW49" s="709">
        <f t="shared" si="20"/>
        <v>-16.085947859336486</v>
      </c>
      <c r="AX49" s="742">
        <f t="shared" si="21"/>
        <v>149.18966999999998</v>
      </c>
      <c r="AY49" s="765">
        <f t="shared" si="22"/>
        <v>53.48011477211466</v>
      </c>
      <c r="AZ49" s="557">
        <f t="shared" si="23"/>
        <v>360.69901500000003</v>
      </c>
      <c r="BA49" s="795">
        <f t="shared" si="24"/>
        <v>-24.540898</v>
      </c>
      <c r="BB49" s="453">
        <f t="shared" si="25"/>
        <v>-30.024540432131047</v>
      </c>
      <c r="BC49" s="453">
        <f t="shared" si="26"/>
        <v>67.45353799999998</v>
      </c>
      <c r="BD49" s="765">
        <f t="shared" si="27"/>
        <v>18.70078242381669</v>
      </c>
      <c r="BE49" s="89">
        <f t="shared" si="28"/>
        <v>406.472755</v>
      </c>
      <c r="BF49" s="967">
        <f t="shared" si="29"/>
        <v>13.646499000000006</v>
      </c>
      <c r="BG49" s="897">
        <f t="shared" si="30"/>
        <v>29.812942966862664</v>
      </c>
      <c r="BH49" s="966">
        <f t="shared" si="31"/>
        <v>21.679798000000005</v>
      </c>
      <c r="BI49" s="373">
        <f t="shared" si="32"/>
        <v>5.333641119439861</v>
      </c>
    </row>
    <row r="50" spans="1:61" s="48" customFormat="1" ht="14.25" customHeight="1">
      <c r="A50" s="591"/>
      <c r="B50" s="646" t="s">
        <v>51</v>
      </c>
      <c r="C50" s="450"/>
      <c r="D50" s="643" t="s">
        <v>150</v>
      </c>
      <c r="E50" s="524"/>
      <c r="F50" s="454">
        <v>0</v>
      </c>
      <c r="G50" s="458">
        <v>0</v>
      </c>
      <c r="H50" s="458"/>
      <c r="I50" s="457">
        <v>0</v>
      </c>
      <c r="J50" s="944">
        <v>0</v>
      </c>
      <c r="K50" s="943">
        <v>0</v>
      </c>
      <c r="L50" s="457"/>
      <c r="M50" s="260"/>
      <c r="N50" s="457"/>
      <c r="O50" s="260"/>
      <c r="P50" s="457"/>
      <c r="Q50" s="260"/>
      <c r="R50" s="457"/>
      <c r="S50" s="260"/>
      <c r="T50" s="459"/>
      <c r="U50" s="111">
        <v>0</v>
      </c>
      <c r="V50" s="568">
        <v>3.419239</v>
      </c>
      <c r="W50" s="360">
        <v>3.031531</v>
      </c>
      <c r="X50" s="526">
        <v>7.610415</v>
      </c>
      <c r="Y50" s="811">
        <f>V50+W50+X50</f>
        <v>14.061185</v>
      </c>
      <c r="Z50" s="755">
        <v>15.896073</v>
      </c>
      <c r="AA50" s="510">
        <v>18.142307</v>
      </c>
      <c r="AB50" s="744">
        <v>12.042013</v>
      </c>
      <c r="AC50" s="207">
        <f>Z50+AA50+AB50</f>
        <v>46.080393</v>
      </c>
      <c r="AD50" s="207">
        <v>6.317102</v>
      </c>
      <c r="AE50" s="260">
        <v>0</v>
      </c>
      <c r="AF50" s="260">
        <v>0</v>
      </c>
      <c r="AG50" s="207">
        <f>AD50+AE50+AF50</f>
        <v>6.317102</v>
      </c>
      <c r="AH50" s="260">
        <v>0</v>
      </c>
      <c r="AI50" s="260">
        <v>0</v>
      </c>
      <c r="AJ50" s="260">
        <v>0</v>
      </c>
      <c r="AK50" s="260">
        <v>0</v>
      </c>
      <c r="AL50" s="207">
        <f>(Y50+AC50+AG50+AK50)</f>
        <v>66.45868</v>
      </c>
      <c r="AM50" s="153"/>
      <c r="AN50" s="403"/>
      <c r="AO50" s="404"/>
      <c r="AP50" s="360">
        <f t="shared" si="33"/>
        <v>6.45077</v>
      </c>
      <c r="AQ50" s="507">
        <f t="shared" si="14"/>
        <v>-3.031531</v>
      </c>
      <c r="AR50" s="373"/>
      <c r="AS50" s="372">
        <f t="shared" si="16"/>
        <v>-6.45077</v>
      </c>
      <c r="AT50" s="712"/>
      <c r="AU50" s="557">
        <f t="shared" si="18"/>
        <v>29.957258</v>
      </c>
      <c r="AV50" s="742">
        <f t="shared" si="19"/>
        <v>-15.896073</v>
      </c>
      <c r="AW50" s="709">
        <f t="shared" si="20"/>
        <v>-100</v>
      </c>
      <c r="AX50" s="742">
        <f t="shared" si="21"/>
        <v>-29.957258</v>
      </c>
      <c r="AY50" s="765">
        <f t="shared" si="22"/>
        <v>-100</v>
      </c>
      <c r="AZ50" s="557">
        <f t="shared" si="23"/>
        <v>48.099565</v>
      </c>
      <c r="BA50" s="795">
        <f t="shared" si="24"/>
        <v>-18.142307</v>
      </c>
      <c r="BB50" s="453">
        <f t="shared" si="25"/>
        <v>-100</v>
      </c>
      <c r="BC50" s="453">
        <f t="shared" si="26"/>
        <v>-48.099565</v>
      </c>
      <c r="BD50" s="765">
        <f t="shared" si="27"/>
        <v>-100</v>
      </c>
      <c r="BE50" s="89">
        <f t="shared" si="28"/>
        <v>60.141577999999996</v>
      </c>
      <c r="BF50" s="967">
        <f t="shared" si="29"/>
        <v>-12.042013</v>
      </c>
      <c r="BG50" s="897">
        <f t="shared" si="30"/>
        <v>-100</v>
      </c>
      <c r="BH50" s="966">
        <f t="shared" si="31"/>
        <v>-60.141577999999996</v>
      </c>
      <c r="BI50" s="373">
        <f t="shared" si="32"/>
        <v>-100</v>
      </c>
    </row>
    <row r="51" spans="1:61" ht="13.5" customHeight="1">
      <c r="A51" s="406"/>
      <c r="B51" s="447" t="s">
        <v>52</v>
      </c>
      <c r="C51" s="198"/>
      <c r="D51" s="640" t="s">
        <v>37</v>
      </c>
      <c r="E51" s="589">
        <v>45.48986</v>
      </c>
      <c r="F51" s="348">
        <v>55.549463</v>
      </c>
      <c r="G51" s="222">
        <v>84.748603</v>
      </c>
      <c r="H51" s="243">
        <f>E51+F51+G51</f>
        <v>185.787926</v>
      </c>
      <c r="I51" s="275">
        <v>119.676707</v>
      </c>
      <c r="J51" s="117">
        <v>149.470772</v>
      </c>
      <c r="K51" s="738">
        <v>135.106177</v>
      </c>
      <c r="L51" s="148">
        <f>I51+J51+K51</f>
        <v>404.253656</v>
      </c>
      <c r="M51" s="249"/>
      <c r="N51" s="275"/>
      <c r="O51" s="249"/>
      <c r="P51" s="148">
        <f>M51+N51+O51</f>
        <v>0</v>
      </c>
      <c r="Q51" s="166"/>
      <c r="R51" s="148"/>
      <c r="S51" s="166"/>
      <c r="T51" s="384">
        <f>Q51+R51+S51</f>
        <v>0</v>
      </c>
      <c r="U51" s="95">
        <f>H51+L51+P51+T51</f>
        <v>590.041582</v>
      </c>
      <c r="V51" s="564">
        <f>39.77936</f>
        <v>39.77936</v>
      </c>
      <c r="W51" s="348">
        <f>34.637787</f>
        <v>34.637787</v>
      </c>
      <c r="X51" s="521">
        <f>52.42481</f>
        <v>52.42481</v>
      </c>
      <c r="Y51" s="812">
        <f>V51+W51+X51</f>
        <v>126.84195700000001</v>
      </c>
      <c r="Z51" s="117">
        <f>98.243917</f>
        <v>98.243917</v>
      </c>
      <c r="AA51" s="92">
        <f>136.020043</f>
        <v>136.020043</v>
      </c>
      <c r="AB51" s="738">
        <f>102.77304</f>
        <v>102.77304</v>
      </c>
      <c r="AC51" s="166">
        <f>Z51+AA51+AB51</f>
        <v>337.037</v>
      </c>
      <c r="AD51" s="249">
        <f>60.122586</f>
        <v>60.122586</v>
      </c>
      <c r="AE51" s="249">
        <v>47.444979</v>
      </c>
      <c r="AF51" s="249">
        <f>38.916985+3.803978</f>
        <v>42.720963</v>
      </c>
      <c r="AG51" s="166">
        <f>AD51+AE51+AF51</f>
        <v>150.28852799999999</v>
      </c>
      <c r="AH51" s="166">
        <v>57.792838</v>
      </c>
      <c r="AI51" s="166">
        <v>58.205839</v>
      </c>
      <c r="AJ51" s="209">
        <v>46.814259</v>
      </c>
      <c r="AK51" s="416">
        <f>AH51+AI51+AJ51</f>
        <v>162.812936</v>
      </c>
      <c r="AL51" s="162">
        <f>Y51+AC51+AG51+AK51</f>
        <v>776.980421</v>
      </c>
      <c r="AM51" s="125"/>
      <c r="AN51" s="272">
        <f t="shared" si="12"/>
        <v>5.710500000000003</v>
      </c>
      <c r="AO51" s="332">
        <f t="shared" si="13"/>
        <v>14.35543457712744</v>
      </c>
      <c r="AP51" s="351">
        <f t="shared" si="33"/>
        <v>74.417147</v>
      </c>
      <c r="AQ51" s="507">
        <f t="shared" si="14"/>
        <v>20.911676</v>
      </c>
      <c r="AR51" s="373">
        <f t="shared" si="15"/>
        <v>60.372436610918584</v>
      </c>
      <c r="AS51" s="372">
        <f t="shared" si="16"/>
        <v>515.624435</v>
      </c>
      <c r="AT51" s="712">
        <f t="shared" si="17"/>
        <v>692.883906178236</v>
      </c>
      <c r="AU51" s="557">
        <f t="shared" si="18"/>
        <v>225.085874</v>
      </c>
      <c r="AV51" s="742">
        <f t="shared" si="19"/>
        <v>21.432789999999997</v>
      </c>
      <c r="AW51" s="709">
        <f t="shared" si="20"/>
        <v>21.815895227385937</v>
      </c>
      <c r="AX51" s="742">
        <f t="shared" si="21"/>
        <v>364.95570799999996</v>
      </c>
      <c r="AY51" s="765">
        <f t="shared" si="22"/>
        <v>162.1406539265987</v>
      </c>
      <c r="AZ51" s="557">
        <f t="shared" si="23"/>
        <v>361.105917</v>
      </c>
      <c r="BA51" s="795">
        <f t="shared" si="24"/>
        <v>13.450729000000024</v>
      </c>
      <c r="BB51" s="453">
        <f t="shared" si="25"/>
        <v>9.888784552141345</v>
      </c>
      <c r="BC51" s="453">
        <f t="shared" si="26"/>
        <v>228.93566499999997</v>
      </c>
      <c r="BD51" s="765">
        <f t="shared" si="27"/>
        <v>63.39848067346955</v>
      </c>
      <c r="BE51" s="89">
        <f t="shared" si="28"/>
        <v>463.87895699999996</v>
      </c>
      <c r="BF51" s="967">
        <f t="shared" si="29"/>
        <v>32.33313700000001</v>
      </c>
      <c r="BG51" s="897">
        <f t="shared" si="30"/>
        <v>31.460718686534932</v>
      </c>
      <c r="BH51" s="966">
        <f t="shared" si="31"/>
        <v>126.16262499999999</v>
      </c>
      <c r="BI51" s="373">
        <f t="shared" si="32"/>
        <v>27.19731582909462</v>
      </c>
    </row>
    <row r="52" spans="1:61" s="66" customFormat="1" ht="17.25" customHeight="1">
      <c r="A52" s="592">
        <v>5</v>
      </c>
      <c r="B52" s="660" t="s">
        <v>45</v>
      </c>
      <c r="C52" s="323"/>
      <c r="D52" s="661"/>
      <c r="E52" s="527">
        <f>E53+E56</f>
        <v>607.378242</v>
      </c>
      <c r="F52" s="353">
        <f>F53+F56</f>
        <v>556.579544</v>
      </c>
      <c r="G52" s="227">
        <f aca="true" t="shared" si="64" ref="G52:U52">G53+G56</f>
        <v>500.38235299999997</v>
      </c>
      <c r="H52" s="227">
        <f t="shared" si="64"/>
        <v>1664.3401390000004</v>
      </c>
      <c r="I52" s="152">
        <f t="shared" si="64"/>
        <v>528.6765890000001</v>
      </c>
      <c r="J52" s="130">
        <f t="shared" si="64"/>
        <v>413.498526</v>
      </c>
      <c r="K52" s="772">
        <f t="shared" si="64"/>
        <v>404.555822</v>
      </c>
      <c r="L52" s="962">
        <f t="shared" si="64"/>
        <v>1346.730937</v>
      </c>
      <c r="M52" s="963">
        <f t="shared" si="64"/>
        <v>0</v>
      </c>
      <c r="N52" s="962">
        <f t="shared" si="64"/>
        <v>0</v>
      </c>
      <c r="O52" s="963">
        <f t="shared" si="64"/>
        <v>0</v>
      </c>
      <c r="P52" s="962">
        <f t="shared" si="64"/>
        <v>0</v>
      </c>
      <c r="Q52" s="963">
        <f t="shared" si="64"/>
        <v>0</v>
      </c>
      <c r="R52" s="962">
        <f t="shared" si="64"/>
        <v>0</v>
      </c>
      <c r="S52" s="963">
        <f t="shared" si="64"/>
        <v>0</v>
      </c>
      <c r="T52" s="964">
        <f t="shared" si="64"/>
        <v>0</v>
      </c>
      <c r="U52" s="173">
        <f t="shared" si="64"/>
        <v>3011.0713980000005</v>
      </c>
      <c r="V52" s="572">
        <f>V53+V56</f>
        <v>596.750923</v>
      </c>
      <c r="W52" s="353">
        <f>W53+W56</f>
        <v>532.894608</v>
      </c>
      <c r="X52" s="536">
        <f aca="true" t="shared" si="65" ref="X52:AL52">X53+X56</f>
        <v>539.550704</v>
      </c>
      <c r="Y52" s="813">
        <f t="shared" si="65"/>
        <v>1669.196235</v>
      </c>
      <c r="Z52" s="130">
        <f t="shared" si="65"/>
        <v>523.59651</v>
      </c>
      <c r="AA52" s="97">
        <f t="shared" si="65"/>
        <v>535.321922</v>
      </c>
      <c r="AB52" s="772">
        <f t="shared" si="65"/>
        <v>542.1567439999999</v>
      </c>
      <c r="AC52" s="159">
        <f t="shared" si="65"/>
        <v>1601.075176</v>
      </c>
      <c r="AD52" s="159">
        <f t="shared" si="65"/>
        <v>549.8461560000001</v>
      </c>
      <c r="AE52" s="159">
        <f t="shared" si="65"/>
        <v>621.1163110000001</v>
      </c>
      <c r="AF52" s="159">
        <f t="shared" si="65"/>
        <v>598.72256</v>
      </c>
      <c r="AG52" s="159">
        <f t="shared" si="65"/>
        <v>1769.685027</v>
      </c>
      <c r="AH52" s="159">
        <f t="shared" si="65"/>
        <v>543.1263020000001</v>
      </c>
      <c r="AI52" s="159">
        <f t="shared" si="65"/>
        <v>581.738757</v>
      </c>
      <c r="AJ52" s="210">
        <f t="shared" si="65"/>
        <v>665.0631650000001</v>
      </c>
      <c r="AK52" s="420">
        <f t="shared" si="65"/>
        <v>1789.9282240000002</v>
      </c>
      <c r="AL52" s="164">
        <f t="shared" si="65"/>
        <v>6829.884662</v>
      </c>
      <c r="AM52" s="128"/>
      <c r="AN52" s="271">
        <f t="shared" si="12"/>
        <v>10.627319000000057</v>
      </c>
      <c r="AO52" s="334">
        <f t="shared" si="13"/>
        <v>1.7808634373909626</v>
      </c>
      <c r="AP52" s="555">
        <f t="shared" si="33"/>
        <v>1129.645531</v>
      </c>
      <c r="AQ52" s="508">
        <f t="shared" si="14"/>
        <v>23.684936000000107</v>
      </c>
      <c r="AR52" s="375">
        <f t="shared" si="15"/>
        <v>4.444581657317144</v>
      </c>
      <c r="AS52" s="374">
        <f t="shared" si="16"/>
        <v>1881.4258670000006</v>
      </c>
      <c r="AT52" s="825">
        <f t="shared" si="17"/>
        <v>166.55010933690852</v>
      </c>
      <c r="AU52" s="559">
        <f t="shared" si="18"/>
        <v>2192.7927449999997</v>
      </c>
      <c r="AV52" s="801">
        <f t="shared" si="19"/>
        <v>5.0800790000001825</v>
      </c>
      <c r="AW52" s="797">
        <f t="shared" si="20"/>
        <v>0.9702278191274161</v>
      </c>
      <c r="AX52" s="801">
        <f t="shared" si="21"/>
        <v>818.2786530000008</v>
      </c>
      <c r="AY52" s="892">
        <f t="shared" si="22"/>
        <v>37.31673478334136</v>
      </c>
      <c r="AZ52" s="559">
        <f t="shared" si="23"/>
        <v>2728.114667</v>
      </c>
      <c r="BA52" s="796">
        <f t="shared" si="24"/>
        <v>-121.82339599999995</v>
      </c>
      <c r="BB52" s="516">
        <f t="shared" si="25"/>
        <v>-22.757034784762638</v>
      </c>
      <c r="BC52" s="516">
        <f t="shared" si="26"/>
        <v>282.9567310000007</v>
      </c>
      <c r="BD52" s="892">
        <f t="shared" si="27"/>
        <v>10.371878221348993</v>
      </c>
      <c r="BE52" s="968">
        <f t="shared" si="28"/>
        <v>3270.2714109999997</v>
      </c>
      <c r="BF52" s="969">
        <f t="shared" si="29"/>
        <v>-137.6009219999999</v>
      </c>
      <c r="BG52" s="896">
        <f t="shared" si="30"/>
        <v>-25.380284119457514</v>
      </c>
      <c r="BH52" s="970">
        <f t="shared" si="31"/>
        <v>-259.2000129999992</v>
      </c>
      <c r="BI52" s="375">
        <f t="shared" si="32"/>
        <v>-7.925948046028992</v>
      </c>
    </row>
    <row r="53" spans="1:61" ht="15.75" customHeight="1">
      <c r="A53" s="406"/>
      <c r="B53" s="447" t="s">
        <v>54</v>
      </c>
      <c r="C53" s="177"/>
      <c r="D53" s="662" t="s">
        <v>140</v>
      </c>
      <c r="E53" s="589">
        <f>E40-E51</f>
        <v>602.401011</v>
      </c>
      <c r="F53" s="348">
        <f>F40-F51</f>
        <v>543.49009</v>
      </c>
      <c r="G53" s="222">
        <f>G40-G51</f>
        <v>495.662831</v>
      </c>
      <c r="H53" s="242">
        <f>E53+F53+G53</f>
        <v>1641.5539320000003</v>
      </c>
      <c r="I53" s="275">
        <f>I40-I51</f>
        <v>495.3884590000001</v>
      </c>
      <c r="J53" s="117">
        <f>J40-J51</f>
        <v>356.10779</v>
      </c>
      <c r="K53" s="738">
        <f>K40-K51</f>
        <v>349.417783</v>
      </c>
      <c r="L53" s="288">
        <f>I53+J53+K53</f>
        <v>1200.9140320000001</v>
      </c>
      <c r="M53" s="249">
        <f>M40-M51</f>
        <v>0</v>
      </c>
      <c r="N53" s="275">
        <f>N40-N51</f>
        <v>0</v>
      </c>
      <c r="O53" s="249">
        <f>O40-O51</f>
        <v>0</v>
      </c>
      <c r="P53" s="288">
        <f>M53+N53+O53</f>
        <v>0</v>
      </c>
      <c r="Q53" s="166">
        <f>Q40-Q51</f>
        <v>0</v>
      </c>
      <c r="R53" s="148">
        <f>R40-R51</f>
        <v>0</v>
      </c>
      <c r="S53" s="166">
        <f>S40-S51</f>
        <v>0</v>
      </c>
      <c r="T53" s="388">
        <f>Q53+R53+S53</f>
        <v>0</v>
      </c>
      <c r="U53" s="93">
        <f>H53+L53+P53+T53</f>
        <v>2842.4679640000004</v>
      </c>
      <c r="V53" s="564">
        <f>V40-V51</f>
        <v>574.1366129999999</v>
      </c>
      <c r="W53" s="348">
        <f>W40-W51</f>
        <v>513.2967239999999</v>
      </c>
      <c r="X53" s="521">
        <f>X40-X51</f>
        <v>518.349616</v>
      </c>
      <c r="Y53" s="808">
        <f>V53+W53+X53</f>
        <v>1605.782953</v>
      </c>
      <c r="Z53" s="117">
        <f>Z40-Z51</f>
        <v>521.788505</v>
      </c>
      <c r="AA53" s="92">
        <f>AA40-AA51</f>
        <v>513.2742529999999</v>
      </c>
      <c r="AB53" s="738">
        <f>AB40-AB51</f>
        <v>503.8473309999999</v>
      </c>
      <c r="AC53" s="161">
        <f>Z53+AA53+AB53</f>
        <v>1538.910089</v>
      </c>
      <c r="AD53" s="249">
        <f>AD40-AD51</f>
        <v>524.6279030000001</v>
      </c>
      <c r="AE53" s="249">
        <f>AE40-AE51</f>
        <v>619.24525</v>
      </c>
      <c r="AF53" s="249">
        <f>AF40-AF51</f>
        <v>597.291867</v>
      </c>
      <c r="AG53" s="161">
        <f>AD53+AE53+AF53</f>
        <v>1741.16502</v>
      </c>
      <c r="AH53" s="166">
        <f>AH40-AH51</f>
        <v>537.6357290000001</v>
      </c>
      <c r="AI53" s="166">
        <f>AI40-AI51</f>
        <v>581.696455</v>
      </c>
      <c r="AJ53" s="209">
        <f>AJ40-AJ51</f>
        <v>651.0910310000002</v>
      </c>
      <c r="AK53" s="422">
        <f>AH53+AI53+AJ53</f>
        <v>1770.4232150000003</v>
      </c>
      <c r="AL53" s="161">
        <f>Y53+AC53+AG53+AK53</f>
        <v>6656.281277</v>
      </c>
      <c r="AM53" s="125"/>
      <c r="AN53" s="272">
        <f t="shared" si="12"/>
        <v>28.264398000000142</v>
      </c>
      <c r="AO53" s="332">
        <f t="shared" si="13"/>
        <v>4.922939481652634</v>
      </c>
      <c r="AP53" s="351">
        <f t="shared" si="33"/>
        <v>1087.433337</v>
      </c>
      <c r="AQ53" s="507">
        <f t="shared" si="14"/>
        <v>30.193366000000083</v>
      </c>
      <c r="AR53" s="373">
        <f t="shared" si="15"/>
        <v>5.882244048765855</v>
      </c>
      <c r="AS53" s="372">
        <f t="shared" si="16"/>
        <v>1755.0346270000005</v>
      </c>
      <c r="AT53" s="712">
        <f t="shared" si="17"/>
        <v>161.39238767884126</v>
      </c>
      <c r="AU53" s="557">
        <f t="shared" si="18"/>
        <v>2127.571458</v>
      </c>
      <c r="AV53" s="742">
        <f t="shared" si="19"/>
        <v>-26.40004599999986</v>
      </c>
      <c r="AW53" s="709">
        <f t="shared" si="20"/>
        <v>-5.059530010152272</v>
      </c>
      <c r="AX53" s="742">
        <f t="shared" si="21"/>
        <v>714.8965060000005</v>
      </c>
      <c r="AY53" s="765">
        <f t="shared" si="22"/>
        <v>33.60152738052008</v>
      </c>
      <c r="AZ53" s="557">
        <f t="shared" si="23"/>
        <v>2640.845711</v>
      </c>
      <c r="BA53" s="795">
        <f t="shared" si="24"/>
        <v>-157.1664629999999</v>
      </c>
      <c r="BB53" s="453">
        <f t="shared" si="25"/>
        <v>-30.62036758738411</v>
      </c>
      <c r="BC53" s="453">
        <f t="shared" si="26"/>
        <v>201.62225300000046</v>
      </c>
      <c r="BD53" s="765">
        <f t="shared" si="27"/>
        <v>7.63476079500505</v>
      </c>
      <c r="BE53" s="89">
        <f t="shared" si="28"/>
        <v>3144.693042</v>
      </c>
      <c r="BF53" s="967">
        <f t="shared" si="29"/>
        <v>-154.4295479999999</v>
      </c>
      <c r="BG53" s="897">
        <f t="shared" si="30"/>
        <v>-30.650067688857106</v>
      </c>
      <c r="BH53" s="966">
        <f t="shared" si="31"/>
        <v>-302.2250779999995</v>
      </c>
      <c r="BI53" s="373">
        <f t="shared" si="32"/>
        <v>-9.610638430000364</v>
      </c>
    </row>
    <row r="54" spans="1:61" ht="12.75" customHeight="1" hidden="1">
      <c r="A54" s="406"/>
      <c r="B54" s="663"/>
      <c r="C54" s="183"/>
      <c r="D54" s="664"/>
      <c r="E54" s="589"/>
      <c r="F54" s="348"/>
      <c r="G54" s="222"/>
      <c r="H54" s="242"/>
      <c r="I54" s="275"/>
      <c r="J54" s="117"/>
      <c r="K54" s="738"/>
      <c r="L54" s="288"/>
      <c r="M54" s="249"/>
      <c r="N54" s="275"/>
      <c r="O54" s="249"/>
      <c r="P54" s="288"/>
      <c r="Q54" s="166"/>
      <c r="R54" s="148"/>
      <c r="S54" s="166"/>
      <c r="T54" s="388"/>
      <c r="U54" s="93"/>
      <c r="V54" s="564"/>
      <c r="W54" s="348"/>
      <c r="X54" s="521"/>
      <c r="Y54" s="808"/>
      <c r="Z54" s="117"/>
      <c r="AA54" s="92"/>
      <c r="AB54" s="738"/>
      <c r="AC54" s="161"/>
      <c r="AD54" s="249"/>
      <c r="AE54" s="249"/>
      <c r="AF54" s="249"/>
      <c r="AG54" s="161"/>
      <c r="AH54" s="166"/>
      <c r="AI54" s="166"/>
      <c r="AJ54" s="209"/>
      <c r="AK54" s="422"/>
      <c r="AL54" s="161"/>
      <c r="AM54" s="115"/>
      <c r="AN54" s="272">
        <f t="shared" si="12"/>
        <v>0</v>
      </c>
      <c r="AO54" s="332" t="e">
        <f t="shared" si="13"/>
        <v>#DIV/0!</v>
      </c>
      <c r="AP54" s="351">
        <f t="shared" si="33"/>
        <v>0</v>
      </c>
      <c r="AQ54" s="507">
        <f t="shared" si="14"/>
        <v>0</v>
      </c>
      <c r="AR54" s="373" t="e">
        <f t="shared" si="15"/>
        <v>#DIV/0!</v>
      </c>
      <c r="AS54" s="372">
        <f t="shared" si="16"/>
        <v>0</v>
      </c>
      <c r="AT54" s="712" t="e">
        <f t="shared" si="17"/>
        <v>#DIV/0!</v>
      </c>
      <c r="AU54" s="557">
        <f t="shared" si="18"/>
        <v>0</v>
      </c>
      <c r="AV54" s="742">
        <f t="shared" si="19"/>
        <v>0</v>
      </c>
      <c r="AW54" s="709" t="e">
        <f t="shared" si="20"/>
        <v>#DIV/0!</v>
      </c>
      <c r="AX54" s="742">
        <f t="shared" si="21"/>
        <v>0</v>
      </c>
      <c r="AY54" s="765" t="e">
        <f t="shared" si="22"/>
        <v>#DIV/0!</v>
      </c>
      <c r="AZ54" s="557">
        <f t="shared" si="23"/>
        <v>0</v>
      </c>
      <c r="BA54" s="795">
        <f t="shared" si="24"/>
        <v>0</v>
      </c>
      <c r="BB54" s="453" t="e">
        <f t="shared" si="25"/>
        <v>#DIV/0!</v>
      </c>
      <c r="BC54" s="453">
        <f t="shared" si="26"/>
        <v>0</v>
      </c>
      <c r="BD54" s="765" t="e">
        <f t="shared" si="27"/>
        <v>#DIV/0!</v>
      </c>
      <c r="BE54" s="89">
        <f t="shared" si="28"/>
        <v>0</v>
      </c>
      <c r="BF54" s="967">
        <f t="shared" si="29"/>
        <v>0</v>
      </c>
      <c r="BG54" s="897" t="e">
        <f t="shared" si="30"/>
        <v>#DIV/0!</v>
      </c>
      <c r="BH54" s="966">
        <f t="shared" si="31"/>
        <v>0</v>
      </c>
      <c r="BI54" s="373" t="e">
        <f t="shared" si="32"/>
        <v>#DIV/0!</v>
      </c>
    </row>
    <row r="55" spans="1:61" ht="12.75" customHeight="1" hidden="1">
      <c r="A55" s="406"/>
      <c r="B55" s="665"/>
      <c r="C55" s="184"/>
      <c r="D55" s="666"/>
      <c r="E55" s="589"/>
      <c r="F55" s="348"/>
      <c r="G55" s="222"/>
      <c r="H55" s="242"/>
      <c r="I55" s="275"/>
      <c r="J55" s="117"/>
      <c r="K55" s="738"/>
      <c r="L55" s="288"/>
      <c r="M55" s="249"/>
      <c r="N55" s="275"/>
      <c r="O55" s="249"/>
      <c r="P55" s="288"/>
      <c r="Q55" s="166"/>
      <c r="R55" s="148"/>
      <c r="S55" s="166"/>
      <c r="T55" s="388"/>
      <c r="U55" s="93"/>
      <c r="V55" s="564"/>
      <c r="W55" s="348"/>
      <c r="X55" s="521"/>
      <c r="Y55" s="808"/>
      <c r="Z55" s="117"/>
      <c r="AA55" s="92"/>
      <c r="AB55" s="738"/>
      <c r="AC55" s="161"/>
      <c r="AD55" s="249"/>
      <c r="AE55" s="249"/>
      <c r="AF55" s="249"/>
      <c r="AG55" s="161"/>
      <c r="AH55" s="166"/>
      <c r="AI55" s="166"/>
      <c r="AJ55" s="209"/>
      <c r="AK55" s="422"/>
      <c r="AL55" s="161"/>
      <c r="AM55" s="134"/>
      <c r="AN55" s="272">
        <f t="shared" si="12"/>
        <v>0</v>
      </c>
      <c r="AO55" s="332" t="e">
        <f t="shared" si="13"/>
        <v>#DIV/0!</v>
      </c>
      <c r="AP55" s="351">
        <f t="shared" si="33"/>
        <v>0</v>
      </c>
      <c r="AQ55" s="507">
        <f t="shared" si="14"/>
        <v>0</v>
      </c>
      <c r="AR55" s="373" t="e">
        <f t="shared" si="15"/>
        <v>#DIV/0!</v>
      </c>
      <c r="AS55" s="372">
        <f t="shared" si="16"/>
        <v>0</v>
      </c>
      <c r="AT55" s="712" t="e">
        <f t="shared" si="17"/>
        <v>#DIV/0!</v>
      </c>
      <c r="AU55" s="557">
        <f t="shared" si="18"/>
        <v>0</v>
      </c>
      <c r="AV55" s="742">
        <f t="shared" si="19"/>
        <v>0</v>
      </c>
      <c r="AW55" s="709" t="e">
        <f t="shared" si="20"/>
        <v>#DIV/0!</v>
      </c>
      <c r="AX55" s="742">
        <f t="shared" si="21"/>
        <v>0</v>
      </c>
      <c r="AY55" s="765" t="e">
        <f t="shared" si="22"/>
        <v>#DIV/0!</v>
      </c>
      <c r="AZ55" s="557">
        <f t="shared" si="23"/>
        <v>0</v>
      </c>
      <c r="BA55" s="795">
        <f t="shared" si="24"/>
        <v>0</v>
      </c>
      <c r="BB55" s="453" t="e">
        <f t="shared" si="25"/>
        <v>#DIV/0!</v>
      </c>
      <c r="BC55" s="453">
        <f t="shared" si="26"/>
        <v>0</v>
      </c>
      <c r="BD55" s="765" t="e">
        <f t="shared" si="27"/>
        <v>#DIV/0!</v>
      </c>
      <c r="BE55" s="89">
        <f t="shared" si="28"/>
        <v>0</v>
      </c>
      <c r="BF55" s="967">
        <f t="shared" si="29"/>
        <v>0</v>
      </c>
      <c r="BG55" s="897" t="e">
        <f t="shared" si="30"/>
        <v>#DIV/0!</v>
      </c>
      <c r="BH55" s="966">
        <f t="shared" si="31"/>
        <v>0</v>
      </c>
      <c r="BI55" s="373" t="e">
        <f t="shared" si="32"/>
        <v>#DIV/0!</v>
      </c>
    </row>
    <row r="56" spans="1:61" s="4" customFormat="1" ht="12" customHeight="1">
      <c r="A56" s="598"/>
      <c r="B56" s="667" t="s">
        <v>55</v>
      </c>
      <c r="C56" s="185"/>
      <c r="D56" s="668" t="s">
        <v>56</v>
      </c>
      <c r="E56" s="589">
        <f>E57+E62+E58</f>
        <v>4.977231</v>
      </c>
      <c r="F56" s="348">
        <f>F57+F62+F58</f>
        <v>13.089454</v>
      </c>
      <c r="G56" s="222">
        <f>G57+G62+G58</f>
        <v>4.7195219999999996</v>
      </c>
      <c r="H56" s="244">
        <f>H57+H58+H62</f>
        <v>22.786206999999997</v>
      </c>
      <c r="I56" s="275">
        <f>I57+I62+I58</f>
        <v>33.288129999999995</v>
      </c>
      <c r="J56" s="117">
        <f>J57+J62+J58</f>
        <v>57.390736000000004</v>
      </c>
      <c r="K56" s="738">
        <f>K57+K62+K58</f>
        <v>55.138039000000006</v>
      </c>
      <c r="L56" s="289">
        <f>L57+L58+L62</f>
        <v>145.816905</v>
      </c>
      <c r="M56" s="249">
        <f>M57+M62+M58</f>
        <v>0</v>
      </c>
      <c r="N56" s="275">
        <f>N57+N62+N58</f>
        <v>0</v>
      </c>
      <c r="O56" s="249">
        <f>O57+O62+O58</f>
        <v>0</v>
      </c>
      <c r="P56" s="148">
        <f>P57+P58+P62</f>
        <v>0</v>
      </c>
      <c r="Q56" s="166">
        <f>Q57+Q62+Q58</f>
        <v>0</v>
      </c>
      <c r="R56" s="148">
        <f>R57+R62+R58</f>
        <v>0</v>
      </c>
      <c r="S56" s="166">
        <f>S57+S62+S58</f>
        <v>0</v>
      </c>
      <c r="T56" s="384">
        <f>T57+T58+T62</f>
        <v>0</v>
      </c>
      <c r="U56" s="90">
        <f>U57+U62+U58</f>
        <v>168.603434</v>
      </c>
      <c r="V56" s="564">
        <f>V57+V62+V58</f>
        <v>22.61431</v>
      </c>
      <c r="W56" s="348">
        <f>W57+W62+W58</f>
        <v>19.597884</v>
      </c>
      <c r="X56" s="521">
        <f>X57+X62+X58</f>
        <v>21.201088000000002</v>
      </c>
      <c r="Y56" s="814">
        <f>Y57+Y58+Y62</f>
        <v>63.41328200000001</v>
      </c>
      <c r="Z56" s="117">
        <f>Z57+Z62+Z58</f>
        <v>1.808005</v>
      </c>
      <c r="AA56" s="92">
        <f>AA57+AA62+AA58</f>
        <v>22.047669</v>
      </c>
      <c r="AB56" s="738">
        <f>AB57+AB62+AB58</f>
        <v>38.309413</v>
      </c>
      <c r="AC56" s="254">
        <f>AC57+AC58+AC62</f>
        <v>62.16508700000001</v>
      </c>
      <c r="AD56" s="249">
        <f>AD57+AD62+AD58</f>
        <v>25.218253</v>
      </c>
      <c r="AE56" s="249">
        <f>AE57+AE62+AE58</f>
        <v>1.8710609999999999</v>
      </c>
      <c r="AF56" s="249">
        <f>AF57+AF62+AF58</f>
        <v>1.430693</v>
      </c>
      <c r="AG56" s="254">
        <f>AG57+AG58+AG62</f>
        <v>28.520007</v>
      </c>
      <c r="AH56" s="166">
        <f>AH57+AH62+AH58</f>
        <v>5.490573</v>
      </c>
      <c r="AI56" s="166">
        <f>AI57+AI62+AI58</f>
        <v>0.042302000000000006</v>
      </c>
      <c r="AJ56" s="209">
        <f>AJ57+AJ62+AJ58</f>
        <v>13.972134</v>
      </c>
      <c r="AK56" s="416">
        <f>AK57+AK58+AK62</f>
        <v>19.505008999999998</v>
      </c>
      <c r="AL56" s="166">
        <f>AL57+AL62+AL58</f>
        <v>173.603385</v>
      </c>
      <c r="AM56" s="135"/>
      <c r="AN56" s="272">
        <f t="shared" si="12"/>
        <v>-17.637079</v>
      </c>
      <c r="AO56" s="332">
        <f t="shared" si="13"/>
        <v>-77.99078990249978</v>
      </c>
      <c r="AP56" s="351">
        <f t="shared" si="33"/>
        <v>42.212194</v>
      </c>
      <c r="AQ56" s="507">
        <f t="shared" si="14"/>
        <v>-6.508430000000001</v>
      </c>
      <c r="AR56" s="373">
        <f t="shared" si="15"/>
        <v>-33.20986081966808</v>
      </c>
      <c r="AS56" s="372">
        <f t="shared" si="16"/>
        <v>126.39124</v>
      </c>
      <c r="AT56" s="712">
        <f t="shared" si="17"/>
        <v>299.4187887983269</v>
      </c>
      <c r="AU56" s="557">
        <f t="shared" si="18"/>
        <v>65.221287</v>
      </c>
      <c r="AV56" s="742">
        <f t="shared" si="19"/>
        <v>31.480124999999994</v>
      </c>
      <c r="AW56" s="709">
        <f t="shared" si="20"/>
        <v>1741.1525410604504</v>
      </c>
      <c r="AX56" s="742">
        <f t="shared" si="21"/>
        <v>103.38214699999999</v>
      </c>
      <c r="AY56" s="765">
        <f t="shared" si="22"/>
        <v>158.50982364086127</v>
      </c>
      <c r="AZ56" s="557">
        <f t="shared" si="23"/>
        <v>87.268956</v>
      </c>
      <c r="BA56" s="795">
        <f t="shared" si="24"/>
        <v>35.343067000000005</v>
      </c>
      <c r="BB56" s="453">
        <f t="shared" si="25"/>
        <v>160.3029644539747</v>
      </c>
      <c r="BC56" s="453">
        <f t="shared" si="26"/>
        <v>81.33447799999999</v>
      </c>
      <c r="BD56" s="765">
        <f t="shared" si="27"/>
        <v>93.19978343730844</v>
      </c>
      <c r="BE56" s="89">
        <f t="shared" si="28"/>
        <v>125.57836900000001</v>
      </c>
      <c r="BF56" s="967">
        <f t="shared" si="29"/>
        <v>16.828626000000007</v>
      </c>
      <c r="BG56" s="897">
        <f t="shared" si="30"/>
        <v>43.928175041470894</v>
      </c>
      <c r="BH56" s="966">
        <f t="shared" si="31"/>
        <v>43.025064999999984</v>
      </c>
      <c r="BI56" s="373">
        <f t="shared" si="32"/>
        <v>34.26152556576042</v>
      </c>
    </row>
    <row r="57" spans="1:61" ht="12.75" customHeight="1">
      <c r="A57" s="409"/>
      <c r="B57" s="669"/>
      <c r="C57" s="437" t="s">
        <v>57</v>
      </c>
      <c r="D57" s="670" t="s">
        <v>10</v>
      </c>
      <c r="E57" s="524">
        <v>4.613307</v>
      </c>
      <c r="F57" s="354">
        <v>2.982096</v>
      </c>
      <c r="G57" s="226">
        <v>1.372266</v>
      </c>
      <c r="H57" s="244">
        <f aca="true" t="shared" si="66" ref="H57:H62">E57+F57+G57</f>
        <v>8.967668999999999</v>
      </c>
      <c r="I57" s="113">
        <v>0</v>
      </c>
      <c r="J57" s="755">
        <v>1.450549</v>
      </c>
      <c r="K57" s="751">
        <v>0.693702</v>
      </c>
      <c r="L57" s="289">
        <f aca="true" t="shared" si="67" ref="L57:L62">I57+J57+K57</f>
        <v>2.144251</v>
      </c>
      <c r="M57" s="251"/>
      <c r="N57" s="278"/>
      <c r="O57" s="251"/>
      <c r="P57" s="148">
        <f aca="true" t="shared" si="68" ref="P57:P62">M57+N57+O57</f>
        <v>0</v>
      </c>
      <c r="Q57" s="161"/>
      <c r="R57" s="288"/>
      <c r="S57" s="161"/>
      <c r="T57" s="384">
        <f aca="true" t="shared" si="69" ref="T57:T62">Q57+R57+S57</f>
        <v>0</v>
      </c>
      <c r="U57" s="93">
        <f>H57+L57+P57+T57+0.000322</f>
        <v>11.112242</v>
      </c>
      <c r="V57" s="568">
        <v>22.602958</v>
      </c>
      <c r="W57" s="354">
        <v>19.591284</v>
      </c>
      <c r="X57" s="526">
        <v>21.169408</v>
      </c>
      <c r="Y57" s="814">
        <f aca="true" t="shared" si="70" ref="Y57:Y62">V57+W57+X57</f>
        <v>63.36365000000001</v>
      </c>
      <c r="Z57" s="127">
        <v>0.677293</v>
      </c>
      <c r="AA57" s="747">
        <v>0</v>
      </c>
      <c r="AB57" s="535">
        <v>0</v>
      </c>
      <c r="AC57" s="254">
        <f aca="true" t="shared" si="71" ref="AC57:AC62">Z57+AA57+AB57</f>
        <v>0.677293</v>
      </c>
      <c r="AD57" s="251">
        <v>3.024831</v>
      </c>
      <c r="AE57" s="251">
        <v>1.726003</v>
      </c>
      <c r="AF57" s="251">
        <v>1.332336</v>
      </c>
      <c r="AG57" s="254">
        <f aca="true" t="shared" si="72" ref="AG57:AG62">AD57+AE57+AF57</f>
        <v>6.083169999999999</v>
      </c>
      <c r="AH57" s="161">
        <v>5.309908</v>
      </c>
      <c r="AI57" s="161">
        <v>0.008246</v>
      </c>
      <c r="AJ57" s="146">
        <v>13.590258</v>
      </c>
      <c r="AK57" s="416">
        <f aca="true" t="shared" si="73" ref="AK57:AK62">AH57+AI57+AJ57</f>
        <v>18.908412</v>
      </c>
      <c r="AL57" s="161">
        <f aca="true" t="shared" si="74" ref="AL57:AL65">Y57+AC57+AG57+AK57</f>
        <v>89.032525</v>
      </c>
      <c r="AM57" s="136"/>
      <c r="AN57" s="272">
        <f t="shared" si="12"/>
        <v>-17.989651000000002</v>
      </c>
      <c r="AO57" s="332">
        <f t="shared" si="13"/>
        <v>-79.58980855514575</v>
      </c>
      <c r="AP57" s="351">
        <f t="shared" si="33"/>
        <v>42.194242</v>
      </c>
      <c r="AQ57" s="507">
        <f t="shared" si="14"/>
        <v>-16.609188000000003</v>
      </c>
      <c r="AR57" s="373">
        <f t="shared" si="15"/>
        <v>-84.77845556217756</v>
      </c>
      <c r="AS57" s="372">
        <f t="shared" si="16"/>
        <v>-31.082</v>
      </c>
      <c r="AT57" s="712">
        <f t="shared" si="17"/>
        <v>-73.6640795680131</v>
      </c>
      <c r="AU57" s="557">
        <f t="shared" si="18"/>
        <v>64.04094300000001</v>
      </c>
      <c r="AV57" s="742">
        <f t="shared" si="19"/>
        <v>-0.677293</v>
      </c>
      <c r="AW57" s="709">
        <f t="shared" si="20"/>
        <v>-100</v>
      </c>
      <c r="AX57" s="742">
        <f t="shared" si="21"/>
        <v>-52.92870100000001</v>
      </c>
      <c r="AY57" s="765">
        <f t="shared" si="22"/>
        <v>-82.64822240359578</v>
      </c>
      <c r="AZ57" s="557">
        <f t="shared" si="23"/>
        <v>64.04094300000001</v>
      </c>
      <c r="BA57" s="795">
        <f t="shared" si="24"/>
        <v>1.450549</v>
      </c>
      <c r="BB57" s="453" t="e">
        <f t="shared" si="25"/>
        <v>#DIV/0!</v>
      </c>
      <c r="BC57" s="453">
        <f t="shared" si="26"/>
        <v>-52.92870100000001</v>
      </c>
      <c r="BD57" s="765">
        <f t="shared" si="27"/>
        <v>-82.64822240359578</v>
      </c>
      <c r="BE57" s="89">
        <f t="shared" si="28"/>
        <v>64.04094300000001</v>
      </c>
      <c r="BF57" s="967">
        <f t="shared" si="29"/>
        <v>0.693702</v>
      </c>
      <c r="BG57" s="955">
        <v>0</v>
      </c>
      <c r="BH57" s="966">
        <f t="shared" si="31"/>
        <v>-52.92870100000001</v>
      </c>
      <c r="BI57" s="373">
        <f t="shared" si="32"/>
        <v>-82.64822240359578</v>
      </c>
    </row>
    <row r="58" spans="1:61" ht="14.25" customHeight="1">
      <c r="A58" s="406"/>
      <c r="B58" s="671"/>
      <c r="C58" s="438" t="s">
        <v>58</v>
      </c>
      <c r="D58" s="654" t="s">
        <v>73</v>
      </c>
      <c r="E58" s="614">
        <v>0.363924</v>
      </c>
      <c r="F58" s="354">
        <v>1.17084</v>
      </c>
      <c r="G58" s="226">
        <v>3.347256</v>
      </c>
      <c r="H58" s="244">
        <f t="shared" si="66"/>
        <v>4.88202</v>
      </c>
      <c r="I58" s="278">
        <v>5.78886</v>
      </c>
      <c r="J58" s="127">
        <v>10.765392</v>
      </c>
      <c r="K58" s="751">
        <v>10.887492</v>
      </c>
      <c r="L58" s="289">
        <f t="shared" si="67"/>
        <v>27.441744</v>
      </c>
      <c r="M58" s="251"/>
      <c r="N58" s="278"/>
      <c r="O58" s="251"/>
      <c r="P58" s="148">
        <f t="shared" si="68"/>
        <v>0</v>
      </c>
      <c r="Q58" s="161"/>
      <c r="R58" s="288"/>
      <c r="S58" s="161"/>
      <c r="T58" s="384">
        <f t="shared" si="69"/>
        <v>0</v>
      </c>
      <c r="U58" s="93">
        <f aca="true" t="shared" si="75" ref="U58:U65">H58+L58+P58+T58</f>
        <v>32.323764</v>
      </c>
      <c r="V58" s="577">
        <v>0.011352</v>
      </c>
      <c r="W58" s="352">
        <v>0.0066</v>
      </c>
      <c r="X58" s="526">
        <v>0.03168</v>
      </c>
      <c r="Y58" s="814">
        <f t="shared" si="70"/>
        <v>0.049631999999999996</v>
      </c>
      <c r="Z58" s="127">
        <v>1.130712</v>
      </c>
      <c r="AA58" s="747">
        <v>5.620296</v>
      </c>
      <c r="AB58" s="751">
        <v>5.413188</v>
      </c>
      <c r="AC58" s="254">
        <f t="shared" si="71"/>
        <v>12.164196</v>
      </c>
      <c r="AD58" s="251">
        <v>0.682572</v>
      </c>
      <c r="AE58" s="251">
        <v>0.132264</v>
      </c>
      <c r="AF58" s="251">
        <v>0.097284</v>
      </c>
      <c r="AG58" s="254">
        <f t="shared" si="72"/>
        <v>0.9121199999999999</v>
      </c>
      <c r="AH58" s="161">
        <v>0.1782</v>
      </c>
      <c r="AI58" s="161">
        <v>0.034056</v>
      </c>
      <c r="AJ58" s="146">
        <v>0.381876</v>
      </c>
      <c r="AK58" s="416">
        <f t="shared" si="73"/>
        <v>0.594132</v>
      </c>
      <c r="AL58" s="161">
        <f t="shared" si="74"/>
        <v>13.720080000000001</v>
      </c>
      <c r="AM58" s="137"/>
      <c r="AN58" s="272">
        <f t="shared" si="12"/>
        <v>0.35257200000000005</v>
      </c>
      <c r="AO58" s="332">
        <f t="shared" si="13"/>
        <v>3105.813953488372</v>
      </c>
      <c r="AP58" s="351">
        <f t="shared" si="33"/>
        <v>0.017952</v>
      </c>
      <c r="AQ58" s="507">
        <f t="shared" si="14"/>
        <v>1.1642400000000002</v>
      </c>
      <c r="AR58" s="373"/>
      <c r="AS58" s="372">
        <f t="shared" si="16"/>
        <v>32.305811999999996</v>
      </c>
      <c r="AT58" s="712"/>
      <c r="AU58" s="557">
        <f t="shared" si="18"/>
        <v>1.1803439999999998</v>
      </c>
      <c r="AV58" s="742">
        <f t="shared" si="19"/>
        <v>4.658148</v>
      </c>
      <c r="AW58" s="709">
        <f t="shared" si="20"/>
        <v>411.9659117441046</v>
      </c>
      <c r="AX58" s="742">
        <f t="shared" si="21"/>
        <v>31.14342</v>
      </c>
      <c r="AY58" s="765">
        <f t="shared" si="22"/>
        <v>2638.5036904495637</v>
      </c>
      <c r="AZ58" s="557">
        <f t="shared" si="23"/>
        <v>6.80064</v>
      </c>
      <c r="BA58" s="795">
        <f t="shared" si="24"/>
        <v>5.145096000000001</v>
      </c>
      <c r="BB58" s="453">
        <f t="shared" si="25"/>
        <v>91.5449293062145</v>
      </c>
      <c r="BC58" s="453">
        <f t="shared" si="26"/>
        <v>25.523123999999996</v>
      </c>
      <c r="BD58" s="765">
        <f t="shared" si="27"/>
        <v>375.30473602484466</v>
      </c>
      <c r="BE58" s="89">
        <f t="shared" si="28"/>
        <v>12.213828</v>
      </c>
      <c r="BF58" s="967">
        <f t="shared" si="29"/>
        <v>5.474304</v>
      </c>
      <c r="BG58" s="897">
        <f t="shared" si="30"/>
        <v>101.12902045892363</v>
      </c>
      <c r="BH58" s="966">
        <f t="shared" si="31"/>
        <v>20.109935999999998</v>
      </c>
      <c r="BI58" s="373">
        <f t="shared" si="32"/>
        <v>164.6489208788596</v>
      </c>
    </row>
    <row r="59" spans="1:61" ht="10.5" customHeight="1" hidden="1">
      <c r="A59" s="409"/>
      <c r="B59" s="672"/>
      <c r="C59" s="187"/>
      <c r="D59" s="673"/>
      <c r="E59" s="615"/>
      <c r="F59" s="354"/>
      <c r="G59" s="231"/>
      <c r="H59" s="243">
        <f t="shared" si="66"/>
        <v>0</v>
      </c>
      <c r="I59" s="278"/>
      <c r="J59" s="127"/>
      <c r="K59" s="751"/>
      <c r="L59" s="148">
        <f t="shared" si="67"/>
        <v>0</v>
      </c>
      <c r="M59" s="251"/>
      <c r="N59" s="278"/>
      <c r="O59" s="251"/>
      <c r="P59" s="148">
        <f t="shared" si="68"/>
        <v>0</v>
      </c>
      <c r="Q59" s="161"/>
      <c r="R59" s="288"/>
      <c r="S59" s="161"/>
      <c r="T59" s="384">
        <f t="shared" si="69"/>
        <v>0</v>
      </c>
      <c r="U59" s="93">
        <f t="shared" si="75"/>
        <v>0</v>
      </c>
      <c r="V59" s="578"/>
      <c r="W59" s="354"/>
      <c r="X59" s="534"/>
      <c r="Y59" s="812">
        <f t="shared" si="70"/>
        <v>0</v>
      </c>
      <c r="Z59" s="127"/>
      <c r="AA59" s="747"/>
      <c r="AB59" s="751"/>
      <c r="AC59" s="166">
        <f t="shared" si="71"/>
        <v>0</v>
      </c>
      <c r="AD59" s="251"/>
      <c r="AE59" s="251"/>
      <c r="AF59" s="251"/>
      <c r="AG59" s="166">
        <f t="shared" si="72"/>
        <v>0</v>
      </c>
      <c r="AH59" s="161"/>
      <c r="AI59" s="161"/>
      <c r="AJ59" s="146"/>
      <c r="AK59" s="416">
        <f t="shared" si="73"/>
        <v>0</v>
      </c>
      <c r="AL59" s="161">
        <f t="shared" si="74"/>
        <v>0</v>
      </c>
      <c r="AM59" s="124"/>
      <c r="AN59" s="272">
        <f t="shared" si="12"/>
        <v>0</v>
      </c>
      <c r="AO59" s="332" t="e">
        <f t="shared" si="13"/>
        <v>#DIV/0!</v>
      </c>
      <c r="AP59" s="351">
        <f t="shared" si="33"/>
        <v>0</v>
      </c>
      <c r="AQ59" s="507">
        <f t="shared" si="14"/>
        <v>0</v>
      </c>
      <c r="AR59" s="373" t="e">
        <f t="shared" si="15"/>
        <v>#DIV/0!</v>
      </c>
      <c r="AS59" s="372">
        <f t="shared" si="16"/>
        <v>0</v>
      </c>
      <c r="AT59" s="712" t="e">
        <f t="shared" si="17"/>
        <v>#DIV/0!</v>
      </c>
      <c r="AU59" s="557">
        <f t="shared" si="18"/>
        <v>0</v>
      </c>
      <c r="AV59" s="742">
        <f t="shared" si="19"/>
        <v>0</v>
      </c>
      <c r="AW59" s="709" t="e">
        <f t="shared" si="20"/>
        <v>#DIV/0!</v>
      </c>
      <c r="AX59" s="742">
        <f t="shared" si="21"/>
        <v>0</v>
      </c>
      <c r="AY59" s="765" t="e">
        <f t="shared" si="22"/>
        <v>#DIV/0!</v>
      </c>
      <c r="AZ59" s="557">
        <f t="shared" si="23"/>
        <v>0</v>
      </c>
      <c r="BA59" s="795">
        <f t="shared" si="24"/>
        <v>0</v>
      </c>
      <c r="BB59" s="453" t="e">
        <f t="shared" si="25"/>
        <v>#DIV/0!</v>
      </c>
      <c r="BC59" s="453">
        <f t="shared" si="26"/>
        <v>0</v>
      </c>
      <c r="BD59" s="765" t="e">
        <f t="shared" si="27"/>
        <v>#DIV/0!</v>
      </c>
      <c r="BE59" s="89">
        <f t="shared" si="28"/>
        <v>0</v>
      </c>
      <c r="BF59" s="967">
        <f t="shared" si="29"/>
        <v>0</v>
      </c>
      <c r="BG59" s="897" t="e">
        <f t="shared" si="30"/>
        <v>#DIV/0!</v>
      </c>
      <c r="BH59" s="966">
        <f t="shared" si="31"/>
        <v>0</v>
      </c>
      <c r="BI59" s="373" t="e">
        <f t="shared" si="32"/>
        <v>#DIV/0!</v>
      </c>
    </row>
    <row r="60" spans="1:61" ht="10.5" customHeight="1" hidden="1">
      <c r="A60" s="409"/>
      <c r="B60" s="674"/>
      <c r="C60" s="188"/>
      <c r="D60" s="640"/>
      <c r="E60" s="615"/>
      <c r="F60" s="354"/>
      <c r="G60" s="231"/>
      <c r="H60" s="243">
        <f t="shared" si="66"/>
        <v>0</v>
      </c>
      <c r="I60" s="278"/>
      <c r="J60" s="127"/>
      <c r="K60" s="751"/>
      <c r="L60" s="148">
        <f t="shared" si="67"/>
        <v>0</v>
      </c>
      <c r="M60" s="251"/>
      <c r="N60" s="278"/>
      <c r="O60" s="251"/>
      <c r="P60" s="148">
        <f t="shared" si="68"/>
        <v>0</v>
      </c>
      <c r="Q60" s="161"/>
      <c r="R60" s="288"/>
      <c r="S60" s="161"/>
      <c r="T60" s="384">
        <f t="shared" si="69"/>
        <v>0</v>
      </c>
      <c r="U60" s="93">
        <f t="shared" si="75"/>
        <v>0</v>
      </c>
      <c r="V60" s="578"/>
      <c r="W60" s="354"/>
      <c r="X60" s="534"/>
      <c r="Y60" s="812">
        <f t="shared" si="70"/>
        <v>0</v>
      </c>
      <c r="Z60" s="127"/>
      <c r="AA60" s="747"/>
      <c r="AB60" s="751"/>
      <c r="AC60" s="166">
        <f t="shared" si="71"/>
        <v>0</v>
      </c>
      <c r="AD60" s="251"/>
      <c r="AE60" s="251"/>
      <c r="AF60" s="251"/>
      <c r="AG60" s="166">
        <f t="shared" si="72"/>
        <v>0</v>
      </c>
      <c r="AH60" s="161"/>
      <c r="AI60" s="161"/>
      <c r="AJ60" s="146"/>
      <c r="AK60" s="416">
        <f t="shared" si="73"/>
        <v>0</v>
      </c>
      <c r="AL60" s="161">
        <f t="shared" si="74"/>
        <v>0</v>
      </c>
      <c r="AM60" s="138"/>
      <c r="AN60" s="272">
        <f t="shared" si="12"/>
        <v>0</v>
      </c>
      <c r="AO60" s="332" t="e">
        <f t="shared" si="13"/>
        <v>#DIV/0!</v>
      </c>
      <c r="AP60" s="351">
        <f t="shared" si="33"/>
        <v>0</v>
      </c>
      <c r="AQ60" s="507">
        <f t="shared" si="14"/>
        <v>0</v>
      </c>
      <c r="AR60" s="373" t="e">
        <f t="shared" si="15"/>
        <v>#DIV/0!</v>
      </c>
      <c r="AS60" s="372">
        <f t="shared" si="16"/>
        <v>0</v>
      </c>
      <c r="AT60" s="712" t="e">
        <f t="shared" si="17"/>
        <v>#DIV/0!</v>
      </c>
      <c r="AU60" s="557">
        <f t="shared" si="18"/>
        <v>0</v>
      </c>
      <c r="AV60" s="742">
        <f t="shared" si="19"/>
        <v>0</v>
      </c>
      <c r="AW60" s="709" t="e">
        <f t="shared" si="20"/>
        <v>#DIV/0!</v>
      </c>
      <c r="AX60" s="742">
        <f t="shared" si="21"/>
        <v>0</v>
      </c>
      <c r="AY60" s="765" t="e">
        <f t="shared" si="22"/>
        <v>#DIV/0!</v>
      </c>
      <c r="AZ60" s="557">
        <f t="shared" si="23"/>
        <v>0</v>
      </c>
      <c r="BA60" s="795">
        <f t="shared" si="24"/>
        <v>0</v>
      </c>
      <c r="BB60" s="453" t="e">
        <f t="shared" si="25"/>
        <v>#DIV/0!</v>
      </c>
      <c r="BC60" s="453">
        <f t="shared" si="26"/>
        <v>0</v>
      </c>
      <c r="BD60" s="765" t="e">
        <f t="shared" si="27"/>
        <v>#DIV/0!</v>
      </c>
      <c r="BE60" s="89">
        <f t="shared" si="28"/>
        <v>0</v>
      </c>
      <c r="BF60" s="967">
        <f t="shared" si="29"/>
        <v>0</v>
      </c>
      <c r="BG60" s="897" t="e">
        <f t="shared" si="30"/>
        <v>#DIV/0!</v>
      </c>
      <c r="BH60" s="966">
        <f t="shared" si="31"/>
        <v>0</v>
      </c>
      <c r="BI60" s="373" t="e">
        <f t="shared" si="32"/>
        <v>#DIV/0!</v>
      </c>
    </row>
    <row r="61" spans="1:61" ht="10.5" customHeight="1" hidden="1">
      <c r="A61" s="409"/>
      <c r="B61" s="675"/>
      <c r="C61" s="189"/>
      <c r="D61" s="670"/>
      <c r="E61" s="615"/>
      <c r="F61" s="354"/>
      <c r="G61" s="231"/>
      <c r="H61" s="243">
        <f t="shared" si="66"/>
        <v>0</v>
      </c>
      <c r="I61" s="278"/>
      <c r="J61" s="127"/>
      <c r="K61" s="751"/>
      <c r="L61" s="148">
        <f t="shared" si="67"/>
        <v>0</v>
      </c>
      <c r="M61" s="251"/>
      <c r="N61" s="278"/>
      <c r="O61" s="251"/>
      <c r="P61" s="148">
        <f t="shared" si="68"/>
        <v>0</v>
      </c>
      <c r="Q61" s="161"/>
      <c r="R61" s="288"/>
      <c r="S61" s="161"/>
      <c r="T61" s="384">
        <f t="shared" si="69"/>
        <v>0</v>
      </c>
      <c r="U61" s="93">
        <f t="shared" si="75"/>
        <v>0</v>
      </c>
      <c r="V61" s="578"/>
      <c r="W61" s="354"/>
      <c r="X61" s="534"/>
      <c r="Y61" s="812">
        <f t="shared" si="70"/>
        <v>0</v>
      </c>
      <c r="Z61" s="127"/>
      <c r="AA61" s="747"/>
      <c r="AB61" s="751"/>
      <c r="AC61" s="166">
        <f t="shared" si="71"/>
        <v>0</v>
      </c>
      <c r="AD61" s="251"/>
      <c r="AE61" s="251"/>
      <c r="AF61" s="251"/>
      <c r="AG61" s="166">
        <f t="shared" si="72"/>
        <v>0</v>
      </c>
      <c r="AH61" s="161"/>
      <c r="AI61" s="161"/>
      <c r="AJ61" s="146"/>
      <c r="AK61" s="416">
        <f t="shared" si="73"/>
        <v>0</v>
      </c>
      <c r="AL61" s="161">
        <f t="shared" si="74"/>
        <v>0</v>
      </c>
      <c r="AM61" s="139"/>
      <c r="AN61" s="272">
        <f t="shared" si="12"/>
        <v>0</v>
      </c>
      <c r="AO61" s="332" t="e">
        <f t="shared" si="13"/>
        <v>#DIV/0!</v>
      </c>
      <c r="AP61" s="351">
        <f t="shared" si="33"/>
        <v>0</v>
      </c>
      <c r="AQ61" s="507">
        <f t="shared" si="14"/>
        <v>0</v>
      </c>
      <c r="AR61" s="373" t="e">
        <f t="shared" si="15"/>
        <v>#DIV/0!</v>
      </c>
      <c r="AS61" s="372">
        <f t="shared" si="16"/>
        <v>0</v>
      </c>
      <c r="AT61" s="712" t="e">
        <f t="shared" si="17"/>
        <v>#DIV/0!</v>
      </c>
      <c r="AU61" s="557">
        <f t="shared" si="18"/>
        <v>0</v>
      </c>
      <c r="AV61" s="742">
        <f t="shared" si="19"/>
        <v>0</v>
      </c>
      <c r="AW61" s="709" t="e">
        <f t="shared" si="20"/>
        <v>#DIV/0!</v>
      </c>
      <c r="AX61" s="742">
        <f t="shared" si="21"/>
        <v>0</v>
      </c>
      <c r="AY61" s="765" t="e">
        <f t="shared" si="22"/>
        <v>#DIV/0!</v>
      </c>
      <c r="AZ61" s="557">
        <f t="shared" si="23"/>
        <v>0</v>
      </c>
      <c r="BA61" s="795">
        <f t="shared" si="24"/>
        <v>0</v>
      </c>
      <c r="BB61" s="453" t="e">
        <f t="shared" si="25"/>
        <v>#DIV/0!</v>
      </c>
      <c r="BC61" s="453">
        <f t="shared" si="26"/>
        <v>0</v>
      </c>
      <c r="BD61" s="765" t="e">
        <f t="shared" si="27"/>
        <v>#DIV/0!</v>
      </c>
      <c r="BE61" s="89">
        <f t="shared" si="28"/>
        <v>0</v>
      </c>
      <c r="BF61" s="967">
        <f t="shared" si="29"/>
        <v>0</v>
      </c>
      <c r="BG61" s="897" t="e">
        <f t="shared" si="30"/>
        <v>#DIV/0!</v>
      </c>
      <c r="BH61" s="966">
        <f t="shared" si="31"/>
        <v>0</v>
      </c>
      <c r="BI61" s="373" t="e">
        <f t="shared" si="32"/>
        <v>#DIV/0!</v>
      </c>
    </row>
    <row r="62" spans="1:61" ht="13.5" customHeight="1">
      <c r="A62" s="406"/>
      <c r="B62" s="49"/>
      <c r="C62" s="199" t="s">
        <v>59</v>
      </c>
      <c r="D62" s="676" t="s">
        <v>11</v>
      </c>
      <c r="E62" s="616">
        <v>0</v>
      </c>
      <c r="F62" s="396">
        <v>8.936518</v>
      </c>
      <c r="G62" s="232">
        <v>0</v>
      </c>
      <c r="H62" s="243">
        <f t="shared" si="66"/>
        <v>8.936518</v>
      </c>
      <c r="I62" s="288">
        <v>27.49927</v>
      </c>
      <c r="J62" s="146">
        <v>45.174795</v>
      </c>
      <c r="K62" s="822">
        <v>43.556845</v>
      </c>
      <c r="L62" s="148">
        <f t="shared" si="67"/>
        <v>116.23091</v>
      </c>
      <c r="M62" s="161"/>
      <c r="N62" s="295"/>
      <c r="O62" s="264"/>
      <c r="P62" s="148">
        <f t="shared" si="68"/>
        <v>0</v>
      </c>
      <c r="Q62" s="264"/>
      <c r="R62" s="145"/>
      <c r="S62" s="163"/>
      <c r="T62" s="384">
        <f t="shared" si="69"/>
        <v>0</v>
      </c>
      <c r="U62" s="93">
        <f t="shared" si="75"/>
        <v>125.167428</v>
      </c>
      <c r="V62" s="579">
        <v>0</v>
      </c>
      <c r="W62" s="356">
        <v>0</v>
      </c>
      <c r="X62" s="537">
        <v>0</v>
      </c>
      <c r="Y62" s="815">
        <f t="shared" si="70"/>
        <v>0</v>
      </c>
      <c r="Z62" s="144">
        <v>0</v>
      </c>
      <c r="AA62" s="94">
        <v>16.427373</v>
      </c>
      <c r="AB62" s="822">
        <v>32.896225</v>
      </c>
      <c r="AC62" s="166">
        <f t="shared" si="71"/>
        <v>49.323598000000004</v>
      </c>
      <c r="AD62" s="161">
        <v>21.51085</v>
      </c>
      <c r="AE62" s="169">
        <v>0.012794</v>
      </c>
      <c r="AF62" s="264">
        <v>0.001073</v>
      </c>
      <c r="AG62" s="166">
        <f t="shared" si="72"/>
        <v>21.524717000000003</v>
      </c>
      <c r="AH62" s="264">
        <v>0.002465</v>
      </c>
      <c r="AI62" s="163">
        <v>0</v>
      </c>
      <c r="AJ62" s="144">
        <v>0</v>
      </c>
      <c r="AK62" s="425">
        <f t="shared" si="73"/>
        <v>0.002465</v>
      </c>
      <c r="AL62" s="161">
        <f t="shared" si="74"/>
        <v>70.85078000000001</v>
      </c>
      <c r="AM62" s="125"/>
      <c r="AN62" s="325">
        <f t="shared" si="12"/>
        <v>0</v>
      </c>
      <c r="AO62" s="335">
        <v>0</v>
      </c>
      <c r="AP62" s="359">
        <f t="shared" si="33"/>
        <v>0</v>
      </c>
      <c r="AQ62" s="507">
        <f t="shared" si="14"/>
        <v>8.936518</v>
      </c>
      <c r="AR62" s="395">
        <v>0</v>
      </c>
      <c r="AS62" s="372">
        <f t="shared" si="16"/>
        <v>125.167428</v>
      </c>
      <c r="AT62" s="713">
        <v>0</v>
      </c>
      <c r="AU62" s="557">
        <f t="shared" si="18"/>
        <v>0</v>
      </c>
      <c r="AV62" s="742">
        <f t="shared" si="19"/>
        <v>27.49927</v>
      </c>
      <c r="AW62" s="878">
        <v>0</v>
      </c>
      <c r="AX62" s="742">
        <f t="shared" si="21"/>
        <v>125.167428</v>
      </c>
      <c r="AY62" s="895">
        <v>0</v>
      </c>
      <c r="AZ62" s="557">
        <f t="shared" si="23"/>
        <v>16.427373</v>
      </c>
      <c r="BA62" s="795">
        <f t="shared" si="24"/>
        <v>28.747422000000004</v>
      </c>
      <c r="BB62" s="453">
        <f t="shared" si="25"/>
        <v>174.99707348216907</v>
      </c>
      <c r="BC62" s="453">
        <f t="shared" si="26"/>
        <v>108.740055</v>
      </c>
      <c r="BD62" s="765">
        <f t="shared" si="27"/>
        <v>661.9442743523265</v>
      </c>
      <c r="BE62" s="89">
        <f t="shared" si="28"/>
        <v>49.323598000000004</v>
      </c>
      <c r="BF62" s="967">
        <f t="shared" si="29"/>
        <v>10.660620000000002</v>
      </c>
      <c r="BG62" s="897">
        <f t="shared" si="30"/>
        <v>32.406818715521325</v>
      </c>
      <c r="BH62" s="966">
        <f t="shared" si="31"/>
        <v>75.84383</v>
      </c>
      <c r="BI62" s="373">
        <f t="shared" si="32"/>
        <v>153.76783745581574</v>
      </c>
    </row>
    <row r="63" spans="1:61" ht="15" customHeight="1" hidden="1">
      <c r="A63" s="406"/>
      <c r="B63" s="677"/>
      <c r="C63" s="190"/>
      <c r="D63" s="678"/>
      <c r="E63" s="524"/>
      <c r="F63" s="356">
        <v>0</v>
      </c>
      <c r="G63" s="226"/>
      <c r="H63" s="245"/>
      <c r="I63" s="278"/>
      <c r="J63" s="127"/>
      <c r="K63" s="751"/>
      <c r="L63" s="148"/>
      <c r="M63" s="251"/>
      <c r="N63" s="278"/>
      <c r="O63" s="251"/>
      <c r="P63" s="148"/>
      <c r="Q63" s="161"/>
      <c r="R63" s="288"/>
      <c r="S63" s="161"/>
      <c r="T63" s="384"/>
      <c r="U63" s="93">
        <f t="shared" si="75"/>
        <v>0</v>
      </c>
      <c r="V63" s="568"/>
      <c r="W63" s="356">
        <v>0</v>
      </c>
      <c r="X63" s="526"/>
      <c r="Y63" s="816"/>
      <c r="Z63" s="127"/>
      <c r="AA63" s="747"/>
      <c r="AB63" s="751"/>
      <c r="AC63" s="166"/>
      <c r="AD63" s="251"/>
      <c r="AE63" s="251"/>
      <c r="AF63" s="251"/>
      <c r="AG63" s="166"/>
      <c r="AH63" s="161"/>
      <c r="AI63" s="161"/>
      <c r="AJ63" s="146"/>
      <c r="AK63" s="416"/>
      <c r="AL63" s="161">
        <f t="shared" si="74"/>
        <v>0</v>
      </c>
      <c r="AM63" s="115"/>
      <c r="AN63" s="271">
        <f t="shared" si="12"/>
        <v>0</v>
      </c>
      <c r="AO63" s="334" t="e">
        <f t="shared" si="13"/>
        <v>#DIV/0!</v>
      </c>
      <c r="AP63" s="351">
        <f t="shared" si="33"/>
        <v>0</v>
      </c>
      <c r="AQ63" s="507">
        <f t="shared" si="14"/>
        <v>0</v>
      </c>
      <c r="AR63" s="373" t="e">
        <f t="shared" si="15"/>
        <v>#DIV/0!</v>
      </c>
      <c r="AS63" s="372">
        <f t="shared" si="16"/>
        <v>0</v>
      </c>
      <c r="AT63" s="712" t="e">
        <f t="shared" si="17"/>
        <v>#DIV/0!</v>
      </c>
      <c r="AU63" s="557">
        <f t="shared" si="18"/>
        <v>0</v>
      </c>
      <c r="AV63" s="742">
        <f t="shared" si="19"/>
        <v>0</v>
      </c>
      <c r="AW63" s="709" t="e">
        <f t="shared" si="20"/>
        <v>#DIV/0!</v>
      </c>
      <c r="AX63" s="742">
        <f t="shared" si="21"/>
        <v>0</v>
      </c>
      <c r="AY63" s="765" t="e">
        <f t="shared" si="22"/>
        <v>#DIV/0!</v>
      </c>
      <c r="AZ63" s="557">
        <f t="shared" si="23"/>
        <v>0</v>
      </c>
      <c r="BA63" s="795">
        <f t="shared" si="24"/>
        <v>0</v>
      </c>
      <c r="BB63" s="453" t="e">
        <f t="shared" si="25"/>
        <v>#DIV/0!</v>
      </c>
      <c r="BC63" s="453">
        <f t="shared" si="26"/>
        <v>0</v>
      </c>
      <c r="BD63" s="765" t="e">
        <f t="shared" si="27"/>
        <v>#DIV/0!</v>
      </c>
      <c r="BE63" s="89">
        <f t="shared" si="28"/>
        <v>0</v>
      </c>
      <c r="BF63" s="967">
        <f t="shared" si="29"/>
        <v>0</v>
      </c>
      <c r="BG63" s="897" t="e">
        <f t="shared" si="30"/>
        <v>#DIV/0!</v>
      </c>
      <c r="BH63" s="966">
        <f t="shared" si="31"/>
        <v>0</v>
      </c>
      <c r="BI63" s="373" t="e">
        <f t="shared" si="32"/>
        <v>#DIV/0!</v>
      </c>
    </row>
    <row r="64" spans="1:61" ht="12" customHeight="1" hidden="1">
      <c r="A64" s="406"/>
      <c r="B64" s="677"/>
      <c r="C64" s="190"/>
      <c r="D64" s="678"/>
      <c r="E64" s="524"/>
      <c r="F64" s="356">
        <v>0</v>
      </c>
      <c r="G64" s="226"/>
      <c r="H64" s="245"/>
      <c r="I64" s="278"/>
      <c r="J64" s="127"/>
      <c r="K64" s="751"/>
      <c r="L64" s="148"/>
      <c r="M64" s="251"/>
      <c r="N64" s="278"/>
      <c r="O64" s="251"/>
      <c r="P64" s="148"/>
      <c r="Q64" s="161"/>
      <c r="R64" s="288"/>
      <c r="S64" s="161"/>
      <c r="T64" s="384"/>
      <c r="U64" s="93">
        <f t="shared" si="75"/>
        <v>0</v>
      </c>
      <c r="V64" s="568"/>
      <c r="W64" s="356">
        <v>0</v>
      </c>
      <c r="X64" s="526"/>
      <c r="Y64" s="816"/>
      <c r="Z64" s="127"/>
      <c r="AA64" s="747"/>
      <c r="AB64" s="751"/>
      <c r="AC64" s="166"/>
      <c r="AD64" s="251"/>
      <c r="AE64" s="251"/>
      <c r="AF64" s="251"/>
      <c r="AG64" s="166"/>
      <c r="AH64" s="161"/>
      <c r="AI64" s="161"/>
      <c r="AJ64" s="146"/>
      <c r="AK64" s="416"/>
      <c r="AL64" s="161">
        <f t="shared" si="74"/>
        <v>0</v>
      </c>
      <c r="AM64" s="126"/>
      <c r="AN64" s="271">
        <f t="shared" si="12"/>
        <v>0</v>
      </c>
      <c r="AO64" s="334" t="e">
        <f t="shared" si="13"/>
        <v>#DIV/0!</v>
      </c>
      <c r="AP64" s="351">
        <f t="shared" si="33"/>
        <v>0</v>
      </c>
      <c r="AQ64" s="507">
        <f t="shared" si="14"/>
        <v>0</v>
      </c>
      <c r="AR64" s="373" t="e">
        <f t="shared" si="15"/>
        <v>#DIV/0!</v>
      </c>
      <c r="AS64" s="372">
        <f t="shared" si="16"/>
        <v>0</v>
      </c>
      <c r="AT64" s="712" t="e">
        <f t="shared" si="17"/>
        <v>#DIV/0!</v>
      </c>
      <c r="AU64" s="557">
        <f t="shared" si="18"/>
        <v>0</v>
      </c>
      <c r="AV64" s="742">
        <f t="shared" si="19"/>
        <v>0</v>
      </c>
      <c r="AW64" s="709" t="e">
        <f t="shared" si="20"/>
        <v>#DIV/0!</v>
      </c>
      <c r="AX64" s="742">
        <f t="shared" si="21"/>
        <v>0</v>
      </c>
      <c r="AY64" s="765" t="e">
        <f t="shared" si="22"/>
        <v>#DIV/0!</v>
      </c>
      <c r="AZ64" s="557">
        <f t="shared" si="23"/>
        <v>0</v>
      </c>
      <c r="BA64" s="795">
        <f t="shared" si="24"/>
        <v>0</v>
      </c>
      <c r="BB64" s="453" t="e">
        <f t="shared" si="25"/>
        <v>#DIV/0!</v>
      </c>
      <c r="BC64" s="453">
        <f t="shared" si="26"/>
        <v>0</v>
      </c>
      <c r="BD64" s="765" t="e">
        <f t="shared" si="27"/>
        <v>#DIV/0!</v>
      </c>
      <c r="BE64" s="89">
        <f t="shared" si="28"/>
        <v>0</v>
      </c>
      <c r="BF64" s="967">
        <f t="shared" si="29"/>
        <v>0</v>
      </c>
      <c r="BG64" s="897" t="e">
        <f t="shared" si="30"/>
        <v>#DIV/0!</v>
      </c>
      <c r="BH64" s="966">
        <f t="shared" si="31"/>
        <v>0</v>
      </c>
      <c r="BI64" s="373" t="e">
        <f t="shared" si="32"/>
        <v>#DIV/0!</v>
      </c>
    </row>
    <row r="65" spans="1:61" ht="12" customHeight="1" hidden="1">
      <c r="A65" s="406"/>
      <c r="B65" s="679"/>
      <c r="C65" s="191"/>
      <c r="D65" s="680"/>
      <c r="E65" s="524"/>
      <c r="F65" s="356">
        <v>0</v>
      </c>
      <c r="G65" s="226"/>
      <c r="H65" s="245"/>
      <c r="I65" s="278"/>
      <c r="J65" s="127"/>
      <c r="K65" s="751"/>
      <c r="L65" s="148"/>
      <c r="M65" s="251"/>
      <c r="N65" s="278"/>
      <c r="O65" s="251"/>
      <c r="P65" s="148"/>
      <c r="Q65" s="161"/>
      <c r="R65" s="288"/>
      <c r="S65" s="161"/>
      <c r="T65" s="384"/>
      <c r="U65" s="93">
        <f t="shared" si="75"/>
        <v>0</v>
      </c>
      <c r="V65" s="568"/>
      <c r="W65" s="356">
        <v>0</v>
      </c>
      <c r="X65" s="526"/>
      <c r="Y65" s="816"/>
      <c r="Z65" s="127"/>
      <c r="AA65" s="747"/>
      <c r="AB65" s="751"/>
      <c r="AC65" s="166"/>
      <c r="AD65" s="251"/>
      <c r="AE65" s="251"/>
      <c r="AF65" s="251"/>
      <c r="AG65" s="166"/>
      <c r="AH65" s="161"/>
      <c r="AI65" s="161"/>
      <c r="AJ65" s="146"/>
      <c r="AK65" s="416"/>
      <c r="AL65" s="161">
        <f t="shared" si="74"/>
        <v>0</v>
      </c>
      <c r="AM65" s="139"/>
      <c r="AN65" s="271">
        <f t="shared" si="12"/>
        <v>0</v>
      </c>
      <c r="AO65" s="334" t="e">
        <f t="shared" si="13"/>
        <v>#DIV/0!</v>
      </c>
      <c r="AP65" s="351">
        <f t="shared" si="33"/>
        <v>0</v>
      </c>
      <c r="AQ65" s="507">
        <f t="shared" si="14"/>
        <v>0</v>
      </c>
      <c r="AR65" s="373" t="e">
        <f t="shared" si="15"/>
        <v>#DIV/0!</v>
      </c>
      <c r="AS65" s="372">
        <f t="shared" si="16"/>
        <v>0</v>
      </c>
      <c r="AT65" s="712" t="e">
        <f t="shared" si="17"/>
        <v>#DIV/0!</v>
      </c>
      <c r="AU65" s="557">
        <f t="shared" si="18"/>
        <v>0</v>
      </c>
      <c r="AV65" s="742">
        <f t="shared" si="19"/>
        <v>0</v>
      </c>
      <c r="AW65" s="709" t="e">
        <f t="shared" si="20"/>
        <v>#DIV/0!</v>
      </c>
      <c r="AX65" s="742">
        <f t="shared" si="21"/>
        <v>0</v>
      </c>
      <c r="AY65" s="765" t="e">
        <f t="shared" si="22"/>
        <v>#DIV/0!</v>
      </c>
      <c r="AZ65" s="557">
        <f t="shared" si="23"/>
        <v>0</v>
      </c>
      <c r="BA65" s="795">
        <f t="shared" si="24"/>
        <v>0</v>
      </c>
      <c r="BB65" s="453" t="e">
        <f t="shared" si="25"/>
        <v>#DIV/0!</v>
      </c>
      <c r="BC65" s="453">
        <f t="shared" si="26"/>
        <v>0</v>
      </c>
      <c r="BD65" s="765" t="e">
        <f t="shared" si="27"/>
        <v>#DIV/0!</v>
      </c>
      <c r="BE65" s="89">
        <f t="shared" si="28"/>
        <v>0</v>
      </c>
      <c r="BF65" s="967">
        <f t="shared" si="29"/>
        <v>0</v>
      </c>
      <c r="BG65" s="897" t="e">
        <f t="shared" si="30"/>
        <v>#DIV/0!</v>
      </c>
      <c r="BH65" s="966">
        <f t="shared" si="31"/>
        <v>0</v>
      </c>
      <c r="BI65" s="373" t="e">
        <f t="shared" si="32"/>
        <v>#DIV/0!</v>
      </c>
    </row>
    <row r="66" spans="1:61" s="65" customFormat="1" ht="22.5" customHeight="1">
      <c r="A66" s="592">
        <v>6</v>
      </c>
      <c r="B66" s="1048" t="s">
        <v>60</v>
      </c>
      <c r="C66" s="1049"/>
      <c r="D66" s="1050"/>
      <c r="E66" s="527">
        <f>E70+E71+E72+E74+E73</f>
        <v>8.799768</v>
      </c>
      <c r="F66" s="213">
        <f>F70+F71+F72+F74+F73</f>
        <v>9.165890000000001</v>
      </c>
      <c r="G66" s="227">
        <f>G70+G71+G72+G74+G73</f>
        <v>9.000990999999999</v>
      </c>
      <c r="H66" s="227">
        <f>H70+H71+H72+H73+H74+H75+H76</f>
        <v>26.966648999999997</v>
      </c>
      <c r="I66" s="152">
        <f>I70+I71+I72+I74+I73</f>
        <v>14.971104</v>
      </c>
      <c r="J66" s="130">
        <f>J70+J71+J72+J74</f>
        <v>8.258028999999999</v>
      </c>
      <c r="K66" s="772">
        <f>K70+K71+K72+K74</f>
        <v>8.746635000000001</v>
      </c>
      <c r="L66" s="152">
        <f>L70+L71+L72+L74</f>
        <v>31.975768000000002</v>
      </c>
      <c r="M66" s="159">
        <f>M70+M71+M72+M74+M73</f>
        <v>0</v>
      </c>
      <c r="N66" s="152">
        <f aca="true" t="shared" si="76" ref="N66:U66">N70+N71+N72+N74+N76+N73</f>
        <v>0</v>
      </c>
      <c r="O66" s="159">
        <f t="shared" si="76"/>
        <v>0</v>
      </c>
      <c r="P66" s="152">
        <f t="shared" si="76"/>
        <v>0</v>
      </c>
      <c r="Q66" s="159">
        <f t="shared" si="76"/>
        <v>0</v>
      </c>
      <c r="R66" s="152">
        <f t="shared" si="76"/>
        <v>0</v>
      </c>
      <c r="S66" s="159">
        <f t="shared" si="76"/>
        <v>0</v>
      </c>
      <c r="T66" s="129">
        <f t="shared" si="76"/>
        <v>0</v>
      </c>
      <c r="U66" s="173">
        <f t="shared" si="76"/>
        <v>58.94241699999999</v>
      </c>
      <c r="V66" s="572">
        <f>V70+V71+V72+V74+V73</f>
        <v>8.392749</v>
      </c>
      <c r="W66" s="213">
        <f>W70+W71+W72+W74+W73</f>
        <v>7.415739</v>
      </c>
      <c r="X66" s="536">
        <f>X70+X71+X72+X74</f>
        <v>8.705407</v>
      </c>
      <c r="Y66" s="813">
        <f>Y70+Y71+Y72+Y73+Y74+Y75+Y76</f>
        <v>24.513895</v>
      </c>
      <c r="Z66" s="130">
        <f>Z70+Z71+Z72+Z74+Z73</f>
        <v>11.338653</v>
      </c>
      <c r="AA66" s="97">
        <f>AA70+AA71+AA72+AA74</f>
        <v>13.958860999999999</v>
      </c>
      <c r="AB66" s="772">
        <f>AB70+AB71+AB72+AB74</f>
        <v>13.047864</v>
      </c>
      <c r="AC66" s="159">
        <f>AC70+AC71+AC72+AC74</f>
        <v>38.345378</v>
      </c>
      <c r="AD66" s="159">
        <f>AD70+AD71+AD72+AD74+AD73</f>
        <v>8.855634</v>
      </c>
      <c r="AE66" s="159">
        <f aca="true" t="shared" si="77" ref="AE66:AL66">AE70+AE71+AE72+AE74+AE76+AE73</f>
        <v>12.105166999999998</v>
      </c>
      <c r="AF66" s="159">
        <f t="shared" si="77"/>
        <v>11.591232</v>
      </c>
      <c r="AG66" s="159">
        <f t="shared" si="77"/>
        <v>32.552032999999994</v>
      </c>
      <c r="AH66" s="159">
        <f t="shared" si="77"/>
        <v>10.995948</v>
      </c>
      <c r="AI66" s="159">
        <f t="shared" si="77"/>
        <v>10.410665999999999</v>
      </c>
      <c r="AJ66" s="130">
        <f t="shared" si="77"/>
        <v>12.144515</v>
      </c>
      <c r="AK66" s="420">
        <f t="shared" si="77"/>
        <v>33.551129</v>
      </c>
      <c r="AL66" s="159">
        <f t="shared" si="77"/>
        <v>128.962435</v>
      </c>
      <c r="AM66" s="202"/>
      <c r="AN66" s="271">
        <f t="shared" si="12"/>
        <v>0.407019</v>
      </c>
      <c r="AO66" s="334">
        <f t="shared" si="13"/>
        <v>4.849650573369942</v>
      </c>
      <c r="AP66" s="555">
        <f t="shared" si="33"/>
        <v>15.808488</v>
      </c>
      <c r="AQ66" s="508">
        <f t="shared" si="14"/>
        <v>1.7501510000000007</v>
      </c>
      <c r="AR66" s="375">
        <f t="shared" si="15"/>
        <v>23.600493490938675</v>
      </c>
      <c r="AS66" s="374">
        <f t="shared" si="16"/>
        <v>43.133928999999995</v>
      </c>
      <c r="AT66" s="825">
        <f t="shared" si="17"/>
        <v>272.85296987289354</v>
      </c>
      <c r="AU66" s="559">
        <f t="shared" si="18"/>
        <v>35.852548</v>
      </c>
      <c r="AV66" s="801">
        <f t="shared" si="19"/>
        <v>3.6324509999999997</v>
      </c>
      <c r="AW66" s="797">
        <f t="shared" si="20"/>
        <v>32.03600110171817</v>
      </c>
      <c r="AX66" s="801">
        <f t="shared" si="21"/>
        <v>23.089868999999993</v>
      </c>
      <c r="AY66" s="892">
        <f t="shared" si="22"/>
        <v>64.4023097047384</v>
      </c>
      <c r="AZ66" s="559">
        <f t="shared" si="23"/>
        <v>49.811409</v>
      </c>
      <c r="BA66" s="796">
        <f t="shared" si="24"/>
        <v>-5.700832</v>
      </c>
      <c r="BB66" s="516">
        <f t="shared" si="25"/>
        <v>-40.84023760964451</v>
      </c>
      <c r="BC66" s="516">
        <f t="shared" si="26"/>
        <v>9.131007999999994</v>
      </c>
      <c r="BD66" s="892">
        <f t="shared" si="27"/>
        <v>18.331157827717732</v>
      </c>
      <c r="BE66" s="968">
        <f t="shared" si="28"/>
        <v>62.859273</v>
      </c>
      <c r="BF66" s="969">
        <f t="shared" si="29"/>
        <v>-4.301228999999999</v>
      </c>
      <c r="BG66" s="896">
        <f t="shared" si="30"/>
        <v>-32.96500484677031</v>
      </c>
      <c r="BH66" s="970">
        <f t="shared" si="31"/>
        <v>-3.91685600000001</v>
      </c>
      <c r="BI66" s="375">
        <f t="shared" si="32"/>
        <v>-6.2311506529832315</v>
      </c>
    </row>
    <row r="67" spans="1:61" s="4" customFormat="1" ht="21" customHeight="1" hidden="1">
      <c r="A67" s="599">
        <v>5</v>
      </c>
      <c r="B67" s="681" t="s">
        <v>7</v>
      </c>
      <c r="C67" s="192"/>
      <c r="D67" s="682"/>
      <c r="E67" s="617"/>
      <c r="F67" s="215"/>
      <c r="G67" s="233"/>
      <c r="H67" s="246">
        <f>E67+F67+G67</f>
        <v>0</v>
      </c>
      <c r="I67" s="282"/>
      <c r="J67" s="141"/>
      <c r="K67" s="773"/>
      <c r="L67" s="290">
        <f>I67+J67+K67</f>
        <v>0</v>
      </c>
      <c r="M67" s="252"/>
      <c r="N67" s="282"/>
      <c r="O67" s="252"/>
      <c r="P67" s="290">
        <f>M67+N67+O67</f>
        <v>0</v>
      </c>
      <c r="Q67" s="252"/>
      <c r="R67" s="282"/>
      <c r="S67" s="252"/>
      <c r="T67" s="389">
        <f>Q67+R67+S67</f>
        <v>0</v>
      </c>
      <c r="U67" s="102"/>
      <c r="V67" s="580"/>
      <c r="W67" s="215"/>
      <c r="X67" s="538"/>
      <c r="Y67" s="817">
        <f>V67+W67+X67</f>
        <v>0</v>
      </c>
      <c r="Z67" s="141"/>
      <c r="AA67" s="934"/>
      <c r="AB67" s="773"/>
      <c r="AC67" s="167">
        <f>Z67+AA67+AB67</f>
        <v>0</v>
      </c>
      <c r="AD67" s="252"/>
      <c r="AE67" s="252"/>
      <c r="AF67" s="252"/>
      <c r="AG67" s="167">
        <f>AD67+AE67+AF67</f>
        <v>0</v>
      </c>
      <c r="AH67" s="252"/>
      <c r="AI67" s="252"/>
      <c r="AJ67" s="141"/>
      <c r="AK67" s="426">
        <f>AH67+AI67+AJ67</f>
        <v>0</v>
      </c>
      <c r="AL67" s="167"/>
      <c r="AM67" s="140"/>
      <c r="AN67" s="271">
        <f t="shared" si="12"/>
        <v>0</v>
      </c>
      <c r="AO67" s="334" t="e">
        <f t="shared" si="13"/>
        <v>#DIV/0!</v>
      </c>
      <c r="AP67" s="351">
        <f t="shared" si="33"/>
        <v>0</v>
      </c>
      <c r="AQ67" s="507">
        <f t="shared" si="14"/>
        <v>0</v>
      </c>
      <c r="AR67" s="373" t="e">
        <f t="shared" si="15"/>
        <v>#DIV/0!</v>
      </c>
      <c r="AS67" s="372">
        <f t="shared" si="16"/>
        <v>0</v>
      </c>
      <c r="AT67" s="712" t="e">
        <f t="shared" si="17"/>
        <v>#DIV/0!</v>
      </c>
      <c r="AU67" s="557">
        <f t="shared" si="18"/>
        <v>0</v>
      </c>
      <c r="AV67" s="742">
        <f t="shared" si="19"/>
        <v>0</v>
      </c>
      <c r="AW67" s="709" t="e">
        <f t="shared" si="20"/>
        <v>#DIV/0!</v>
      </c>
      <c r="AX67" s="742">
        <f t="shared" si="21"/>
        <v>0</v>
      </c>
      <c r="AY67" s="765" t="e">
        <f t="shared" si="22"/>
        <v>#DIV/0!</v>
      </c>
      <c r="AZ67" s="557">
        <f t="shared" si="23"/>
        <v>0</v>
      </c>
      <c r="BA67" s="795">
        <f t="shared" si="24"/>
        <v>0</v>
      </c>
      <c r="BB67" s="453" t="e">
        <f t="shared" si="25"/>
        <v>#DIV/0!</v>
      </c>
      <c r="BC67" s="453">
        <f t="shared" si="26"/>
        <v>0</v>
      </c>
      <c r="BD67" s="765" t="e">
        <f t="shared" si="27"/>
        <v>#DIV/0!</v>
      </c>
      <c r="BE67" s="89">
        <f t="shared" si="28"/>
        <v>0</v>
      </c>
      <c r="BF67" s="967">
        <f t="shared" si="29"/>
        <v>0</v>
      </c>
      <c r="BG67" s="897" t="e">
        <f t="shared" si="30"/>
        <v>#DIV/0!</v>
      </c>
      <c r="BH67" s="966">
        <f t="shared" si="31"/>
        <v>0</v>
      </c>
      <c r="BI67" s="373" t="e">
        <f t="shared" si="32"/>
        <v>#DIV/0!</v>
      </c>
    </row>
    <row r="68" spans="1:61" s="4" customFormat="1" ht="13.5" customHeight="1" hidden="1">
      <c r="A68" s="599">
        <v>5</v>
      </c>
      <c r="B68" s="683" t="s">
        <v>8</v>
      </c>
      <c r="C68" s="193"/>
      <c r="D68" s="684"/>
      <c r="E68" s="617"/>
      <c r="F68" s="215"/>
      <c r="G68" s="233"/>
      <c r="H68" s="246">
        <f>E68+F68+G68</f>
        <v>0</v>
      </c>
      <c r="I68" s="282"/>
      <c r="J68" s="141"/>
      <c r="K68" s="773"/>
      <c r="L68" s="290">
        <f>I68+J68+K68</f>
        <v>0</v>
      </c>
      <c r="M68" s="252"/>
      <c r="N68" s="282"/>
      <c r="O68" s="252"/>
      <c r="P68" s="290">
        <f>M68+N68+O68</f>
        <v>0</v>
      </c>
      <c r="Q68" s="252"/>
      <c r="R68" s="282"/>
      <c r="S68" s="252"/>
      <c r="T68" s="389">
        <f>Q68+R68+S68</f>
        <v>0</v>
      </c>
      <c r="U68" s="102">
        <f>H68+L68+P68+T68</f>
        <v>0</v>
      </c>
      <c r="V68" s="580"/>
      <c r="W68" s="215"/>
      <c r="X68" s="538"/>
      <c r="Y68" s="817">
        <f>V68+W68+X68</f>
        <v>0</v>
      </c>
      <c r="Z68" s="141"/>
      <c r="AA68" s="934"/>
      <c r="AB68" s="773"/>
      <c r="AC68" s="167">
        <f>Z68+AA68+AB68</f>
        <v>0</v>
      </c>
      <c r="AD68" s="252"/>
      <c r="AE68" s="252"/>
      <c r="AF68" s="252"/>
      <c r="AG68" s="167">
        <f>AD68+AE68+AF68</f>
        <v>0</v>
      </c>
      <c r="AH68" s="252"/>
      <c r="AI68" s="252"/>
      <c r="AJ68" s="141"/>
      <c r="AK68" s="426">
        <f>AH68+AI68+AJ68</f>
        <v>0</v>
      </c>
      <c r="AL68" s="167">
        <f>Y68+AC68+AG68+AK68</f>
        <v>0</v>
      </c>
      <c r="AM68" s="142"/>
      <c r="AN68" s="271">
        <f t="shared" si="12"/>
        <v>0</v>
      </c>
      <c r="AO68" s="334" t="e">
        <f t="shared" si="13"/>
        <v>#DIV/0!</v>
      </c>
      <c r="AP68" s="351">
        <f t="shared" si="33"/>
        <v>0</v>
      </c>
      <c r="AQ68" s="507">
        <f t="shared" si="14"/>
        <v>0</v>
      </c>
      <c r="AR68" s="373" t="e">
        <f t="shared" si="15"/>
        <v>#DIV/0!</v>
      </c>
      <c r="AS68" s="372">
        <f t="shared" si="16"/>
        <v>0</v>
      </c>
      <c r="AT68" s="712" t="e">
        <f t="shared" si="17"/>
        <v>#DIV/0!</v>
      </c>
      <c r="AU68" s="557">
        <f t="shared" si="18"/>
        <v>0</v>
      </c>
      <c r="AV68" s="742">
        <f t="shared" si="19"/>
        <v>0</v>
      </c>
      <c r="AW68" s="709" t="e">
        <f t="shared" si="20"/>
        <v>#DIV/0!</v>
      </c>
      <c r="AX68" s="742">
        <f t="shared" si="21"/>
        <v>0</v>
      </c>
      <c r="AY68" s="765" t="e">
        <f t="shared" si="22"/>
        <v>#DIV/0!</v>
      </c>
      <c r="AZ68" s="557">
        <f t="shared" si="23"/>
        <v>0</v>
      </c>
      <c r="BA68" s="795">
        <f t="shared" si="24"/>
        <v>0</v>
      </c>
      <c r="BB68" s="453" t="e">
        <f t="shared" si="25"/>
        <v>#DIV/0!</v>
      </c>
      <c r="BC68" s="453">
        <f t="shared" si="26"/>
        <v>0</v>
      </c>
      <c r="BD68" s="765" t="e">
        <f t="shared" si="27"/>
        <v>#DIV/0!</v>
      </c>
      <c r="BE68" s="89">
        <f t="shared" si="28"/>
        <v>0</v>
      </c>
      <c r="BF68" s="967">
        <f t="shared" si="29"/>
        <v>0</v>
      </c>
      <c r="BG68" s="897" t="e">
        <f t="shared" si="30"/>
        <v>#DIV/0!</v>
      </c>
      <c r="BH68" s="966">
        <f t="shared" si="31"/>
        <v>0</v>
      </c>
      <c r="BI68" s="373" t="e">
        <f t="shared" si="32"/>
        <v>#DIV/0!</v>
      </c>
    </row>
    <row r="69" spans="1:61" s="8" customFormat="1" ht="15" customHeight="1">
      <c r="A69" s="408"/>
      <c r="B69" s="685"/>
      <c r="C69" s="194"/>
      <c r="D69" s="686" t="s">
        <v>65</v>
      </c>
      <c r="E69" s="618">
        <f aca="true" t="shared" si="78" ref="E69:U69">E66/E52</f>
        <v>0.014488118591511877</v>
      </c>
      <c r="F69" s="357">
        <f t="shared" si="78"/>
        <v>0.016468248067701172</v>
      </c>
      <c r="G69" s="234">
        <f t="shared" si="78"/>
        <v>0.017988226295422533</v>
      </c>
      <c r="H69" s="234">
        <f t="shared" si="78"/>
        <v>0.016202606887918115</v>
      </c>
      <c r="I69" s="886">
        <f t="shared" si="78"/>
        <v>0.028318076327756583</v>
      </c>
      <c r="J69" s="783">
        <f t="shared" si="78"/>
        <v>0.019971120767671123</v>
      </c>
      <c r="K69" s="774">
        <f t="shared" si="78"/>
        <v>0.02162034143213987</v>
      </c>
      <c r="L69" s="291">
        <f t="shared" si="78"/>
        <v>0.023743249019904263</v>
      </c>
      <c r="M69" s="255" t="e">
        <f t="shared" si="78"/>
        <v>#DIV/0!</v>
      </c>
      <c r="N69" s="296" t="e">
        <f t="shared" si="78"/>
        <v>#DIV/0!</v>
      </c>
      <c r="O69" s="258" t="e">
        <f t="shared" si="78"/>
        <v>#DIV/0!</v>
      </c>
      <c r="P69" s="291" t="e">
        <f t="shared" si="78"/>
        <v>#DIV/0!</v>
      </c>
      <c r="Q69" s="255" t="e">
        <f t="shared" si="78"/>
        <v>#DIV/0!</v>
      </c>
      <c r="R69" s="291" t="e">
        <f t="shared" si="78"/>
        <v>#DIV/0!</v>
      </c>
      <c r="S69" s="255" t="e">
        <f t="shared" si="78"/>
        <v>#DIV/0!</v>
      </c>
      <c r="T69" s="390" t="e">
        <f t="shared" si="78"/>
        <v>#DIV/0!</v>
      </c>
      <c r="U69" s="103">
        <f t="shared" si="78"/>
        <v>0.01957523061032377</v>
      </c>
      <c r="V69" s="581">
        <f aca="true" t="shared" si="79" ref="V69:AL69">V66/V52</f>
        <v>0.014064073764323278</v>
      </c>
      <c r="W69" s="357">
        <f t="shared" si="79"/>
        <v>0.013915958031236077</v>
      </c>
      <c r="X69" s="539">
        <f t="shared" si="79"/>
        <v>0.016134548496483842</v>
      </c>
      <c r="Y69" s="818">
        <f t="shared" si="79"/>
        <v>0.01468604738375773</v>
      </c>
      <c r="Z69" s="783">
        <f t="shared" si="79"/>
        <v>0.021655325777477016</v>
      </c>
      <c r="AA69" s="935">
        <f t="shared" si="79"/>
        <v>0.02607563865094245</v>
      </c>
      <c r="AB69" s="774">
        <f t="shared" si="79"/>
        <v>0.024066589864277337</v>
      </c>
      <c r="AC69" s="255">
        <f t="shared" si="79"/>
        <v>0.02394976736557684</v>
      </c>
      <c r="AD69" s="255">
        <f t="shared" si="79"/>
        <v>0.01610565774329065</v>
      </c>
      <c r="AE69" s="258">
        <f t="shared" si="79"/>
        <v>0.019489372257042524</v>
      </c>
      <c r="AF69" s="258">
        <f t="shared" si="79"/>
        <v>0.019359938599941846</v>
      </c>
      <c r="AG69" s="255">
        <f t="shared" si="79"/>
        <v>0.01839425236884258</v>
      </c>
      <c r="AH69" s="255">
        <f t="shared" si="79"/>
        <v>0.020245655493959114</v>
      </c>
      <c r="AI69" s="255">
        <f t="shared" si="79"/>
        <v>0.017895775164933698</v>
      </c>
      <c r="AJ69" s="268">
        <f t="shared" si="79"/>
        <v>0.018260694080087864</v>
      </c>
      <c r="AK69" s="427">
        <f t="shared" si="79"/>
        <v>0.018744399105022437</v>
      </c>
      <c r="AL69" s="168">
        <f t="shared" si="79"/>
        <v>0.018882080940183232</v>
      </c>
      <c r="AM69" s="203"/>
      <c r="AN69" s="272">
        <v>0.04</v>
      </c>
      <c r="AO69" s="332">
        <v>2.84</v>
      </c>
      <c r="AP69" s="357">
        <f>AP66/AP52</f>
        <v>0.013994202222006579</v>
      </c>
      <c r="AQ69" s="507">
        <v>0.26</v>
      </c>
      <c r="AR69" s="373"/>
      <c r="AS69" s="372">
        <v>0.14</v>
      </c>
      <c r="AT69" s="712"/>
      <c r="AU69" s="103">
        <f>AU66/AU52</f>
        <v>0.01635017631363059</v>
      </c>
      <c r="AV69" s="742">
        <v>0.66</v>
      </c>
      <c r="AW69" s="878">
        <v>0</v>
      </c>
      <c r="AX69" s="742">
        <v>0.27</v>
      </c>
      <c r="AY69" s="895">
        <v>0</v>
      </c>
      <c r="AZ69" s="935">
        <f>AZ66/AZ52</f>
        <v>0.01825854668153507</v>
      </c>
      <c r="BA69" s="795">
        <f t="shared" si="24"/>
        <v>-0.006104517883271328</v>
      </c>
      <c r="BB69" s="453">
        <f t="shared" si="25"/>
        <v>-23.41080870535339</v>
      </c>
      <c r="BC69" s="453">
        <f t="shared" si="26"/>
        <v>0.0013166839287887012</v>
      </c>
      <c r="BD69" s="765">
        <f t="shared" si="27"/>
        <v>7.21132931198882</v>
      </c>
      <c r="BE69" s="935">
        <f>BE66/BE52</f>
        <v>0.019221423881994732</v>
      </c>
      <c r="BF69" s="967">
        <v>-0.25</v>
      </c>
      <c r="BG69" s="897"/>
      <c r="BH69" s="966">
        <v>0.04</v>
      </c>
      <c r="BI69" s="373">
        <f t="shared" si="32"/>
        <v>1.8406894853427502</v>
      </c>
    </row>
    <row r="70" spans="1:61" s="8" customFormat="1" ht="18" customHeight="1">
      <c r="A70" s="408"/>
      <c r="B70" s="449" t="s">
        <v>61</v>
      </c>
      <c r="C70" s="178"/>
      <c r="D70" s="380" t="s">
        <v>62</v>
      </c>
      <c r="E70" s="616">
        <v>0</v>
      </c>
      <c r="F70" s="216">
        <v>0</v>
      </c>
      <c r="G70" s="235"/>
      <c r="H70" s="247">
        <f>E70+F70+G70</f>
        <v>0</v>
      </c>
      <c r="I70" s="288">
        <v>0.778229</v>
      </c>
      <c r="J70" s="146">
        <v>0.903496</v>
      </c>
      <c r="K70" s="822">
        <v>0.940828</v>
      </c>
      <c r="L70" s="148">
        <f aca="true" t="shared" si="80" ref="L70:L76">I70+J70+K70</f>
        <v>2.622553</v>
      </c>
      <c r="M70" s="161"/>
      <c r="N70" s="288"/>
      <c r="O70" s="161"/>
      <c r="P70" s="148">
        <f>M70+N70+O70</f>
        <v>0</v>
      </c>
      <c r="Q70" s="161"/>
      <c r="R70" s="288"/>
      <c r="S70" s="161"/>
      <c r="T70" s="391">
        <v>0</v>
      </c>
      <c r="U70" s="95">
        <f>H70+L70+P70+T70</f>
        <v>2.622553</v>
      </c>
      <c r="V70" s="579">
        <v>0</v>
      </c>
      <c r="W70" s="216">
        <v>0</v>
      </c>
      <c r="X70" s="540">
        <v>0</v>
      </c>
      <c r="Y70" s="811">
        <f>V70+W70+X70</f>
        <v>0</v>
      </c>
      <c r="Z70" s="144">
        <v>0</v>
      </c>
      <c r="AA70" s="936">
        <v>0.428754</v>
      </c>
      <c r="AB70" s="822">
        <v>0.792799</v>
      </c>
      <c r="AC70" s="166">
        <f aca="true" t="shared" si="81" ref="AC70:AC76">Z70+AA70+AB70</f>
        <v>1.221553</v>
      </c>
      <c r="AD70" s="161">
        <v>0.346325</v>
      </c>
      <c r="AE70" s="163">
        <v>0</v>
      </c>
      <c r="AF70" s="163">
        <v>0</v>
      </c>
      <c r="AG70" s="166">
        <f>AD70+AE70+AF70</f>
        <v>0.346325</v>
      </c>
      <c r="AH70" s="163">
        <v>0</v>
      </c>
      <c r="AI70" s="163">
        <v>0</v>
      </c>
      <c r="AJ70" s="144">
        <v>0</v>
      </c>
      <c r="AK70" s="428">
        <v>0</v>
      </c>
      <c r="AL70" s="162">
        <f>Y70+AC70+AG70+AK70</f>
        <v>1.567878</v>
      </c>
      <c r="AM70" s="143">
        <v>0</v>
      </c>
      <c r="AN70" s="272">
        <f aca="true" t="shared" si="82" ref="AN70:AN101">E70-V70</f>
        <v>0</v>
      </c>
      <c r="AO70" s="335">
        <v>0</v>
      </c>
      <c r="AP70" s="359">
        <f t="shared" si="33"/>
        <v>0</v>
      </c>
      <c r="AQ70" s="507">
        <f aca="true" t="shared" si="83" ref="AQ70:AQ101">F70-W70</f>
        <v>0</v>
      </c>
      <c r="AR70" s="395">
        <v>0</v>
      </c>
      <c r="AS70" s="372">
        <f aca="true" t="shared" si="84" ref="AS70:AS101">U70-AP70</f>
        <v>2.622553</v>
      </c>
      <c r="AT70" s="713">
        <v>0</v>
      </c>
      <c r="AU70" s="760">
        <f t="shared" si="18"/>
        <v>0</v>
      </c>
      <c r="AV70" s="742">
        <f t="shared" si="19"/>
        <v>0.778229</v>
      </c>
      <c r="AW70" s="878">
        <v>0</v>
      </c>
      <c r="AX70" s="742">
        <f t="shared" si="21"/>
        <v>2.622553</v>
      </c>
      <c r="AY70" s="895">
        <v>0</v>
      </c>
      <c r="AZ70" s="557">
        <f t="shared" si="23"/>
        <v>0.428754</v>
      </c>
      <c r="BA70" s="795">
        <f t="shared" si="24"/>
        <v>0.47474199999999994</v>
      </c>
      <c r="BB70" s="453">
        <f t="shared" si="25"/>
        <v>110.72596407263836</v>
      </c>
      <c r="BC70" s="453">
        <f t="shared" si="26"/>
        <v>2.193799</v>
      </c>
      <c r="BD70" s="765">
        <f t="shared" si="27"/>
        <v>511.6684625682792</v>
      </c>
      <c r="BE70" s="89">
        <f t="shared" si="28"/>
        <v>1.221553</v>
      </c>
      <c r="BF70" s="967">
        <f t="shared" si="29"/>
        <v>0.14802899999999997</v>
      </c>
      <c r="BG70" s="897">
        <f t="shared" si="30"/>
        <v>18.67169358185366</v>
      </c>
      <c r="BH70" s="966">
        <f t="shared" si="31"/>
        <v>1.4009999999999998</v>
      </c>
      <c r="BI70" s="373">
        <f t="shared" si="32"/>
        <v>114.69007075419566</v>
      </c>
    </row>
    <row r="71" spans="1:61" s="8" customFormat="1" ht="13.5" customHeight="1" thickBot="1">
      <c r="A71" s="408"/>
      <c r="B71" s="449" t="s">
        <v>158</v>
      </c>
      <c r="C71" s="178"/>
      <c r="D71" s="380" t="s">
        <v>63</v>
      </c>
      <c r="E71" s="619">
        <v>7.699085</v>
      </c>
      <c r="F71" s="217">
        <v>7.540021</v>
      </c>
      <c r="G71" s="310">
        <v>7.205709</v>
      </c>
      <c r="H71" s="819">
        <f>E71+F71+G71</f>
        <v>22.444815</v>
      </c>
      <c r="I71" s="424">
        <v>12.311825</v>
      </c>
      <c r="J71" s="127">
        <v>6.386652</v>
      </c>
      <c r="K71" s="751">
        <v>7.758444</v>
      </c>
      <c r="L71" s="148">
        <f t="shared" si="80"/>
        <v>26.456921</v>
      </c>
      <c r="M71" s="251"/>
      <c r="N71" s="278"/>
      <c r="O71" s="250"/>
      <c r="P71" s="148">
        <f>M71+N71+O71</f>
        <v>0</v>
      </c>
      <c r="Q71" s="161"/>
      <c r="R71" s="288"/>
      <c r="S71" s="161"/>
      <c r="T71" s="384">
        <f>Q71+R71+S71</f>
        <v>0</v>
      </c>
      <c r="U71" s="95">
        <f>H71+L71+P71+T71</f>
        <v>48.901736</v>
      </c>
      <c r="V71" s="568">
        <v>8.030658</v>
      </c>
      <c r="W71" s="217">
        <v>7.16738</v>
      </c>
      <c r="X71" s="526">
        <v>8.241524</v>
      </c>
      <c r="Y71" s="811">
        <f>V71+W71+X71</f>
        <v>23.439562000000002</v>
      </c>
      <c r="Z71" s="127">
        <v>7.898417</v>
      </c>
      <c r="AA71" s="747">
        <v>8.444649</v>
      </c>
      <c r="AB71" s="739">
        <v>9.059447</v>
      </c>
      <c r="AC71" s="315">
        <f t="shared" si="81"/>
        <v>25.402513</v>
      </c>
      <c r="AD71" s="311">
        <v>8.393882</v>
      </c>
      <c r="AE71" s="311">
        <v>9.800132</v>
      </c>
      <c r="AF71" s="313">
        <v>8.943551</v>
      </c>
      <c r="AG71" s="315">
        <f>AD71+AE71+AF71</f>
        <v>27.137565</v>
      </c>
      <c r="AH71" s="314">
        <v>8.780003</v>
      </c>
      <c r="AI71" s="314">
        <v>8.781839</v>
      </c>
      <c r="AJ71" s="316">
        <v>10.314201</v>
      </c>
      <c r="AK71" s="429">
        <f>AH71+AI71+AJ71</f>
        <v>27.876043</v>
      </c>
      <c r="AL71" s="435">
        <f>Y71+AC71+AG71+AK71</f>
        <v>103.855683</v>
      </c>
      <c r="AM71" s="317"/>
      <c r="AN71" s="318">
        <f t="shared" si="82"/>
        <v>-0.33157300000000056</v>
      </c>
      <c r="AO71" s="336">
        <f aca="true" t="shared" si="85" ref="AO71:AO100">E71/V71*100-100</f>
        <v>-4.128839753853299</v>
      </c>
      <c r="AP71" s="351">
        <f aca="true" t="shared" si="86" ref="AP71:AP101">V71+W71</f>
        <v>15.198038</v>
      </c>
      <c r="AQ71" s="507">
        <f t="shared" si="83"/>
        <v>0.37264100000000067</v>
      </c>
      <c r="AR71" s="373">
        <f aca="true" t="shared" si="87" ref="AR71:AR100">F71/W71*100-100</f>
        <v>5.199124366225888</v>
      </c>
      <c r="AS71" s="372">
        <f t="shared" si="84"/>
        <v>33.703698</v>
      </c>
      <c r="AT71" s="712">
        <f aca="true" t="shared" si="88" ref="AT71:AT100">U71/AP71*100-100</f>
        <v>221.76348025975454</v>
      </c>
      <c r="AU71" s="557">
        <f t="shared" si="18"/>
        <v>31.337979000000004</v>
      </c>
      <c r="AV71" s="742">
        <f t="shared" si="19"/>
        <v>4.413408</v>
      </c>
      <c r="AW71" s="709">
        <f t="shared" si="20"/>
        <v>55.87712069393146</v>
      </c>
      <c r="AX71" s="742">
        <f t="shared" si="21"/>
        <v>17.563756999999995</v>
      </c>
      <c r="AY71" s="765">
        <f t="shared" si="22"/>
        <v>56.04623386849545</v>
      </c>
      <c r="AZ71" s="557">
        <f t="shared" si="23"/>
        <v>39.782628</v>
      </c>
      <c r="BA71" s="795">
        <f t="shared" si="24"/>
        <v>-2.0579970000000003</v>
      </c>
      <c r="BB71" s="453">
        <f t="shared" si="25"/>
        <v>-24.370426763741165</v>
      </c>
      <c r="BC71" s="453">
        <f t="shared" si="26"/>
        <v>9.119107999999997</v>
      </c>
      <c r="BD71" s="765">
        <f t="shared" si="27"/>
        <v>22.92233685517205</v>
      </c>
      <c r="BE71" s="89">
        <f t="shared" si="28"/>
        <v>48.842075</v>
      </c>
      <c r="BF71" s="967">
        <f t="shared" si="29"/>
        <v>-1.3010030000000006</v>
      </c>
      <c r="BG71" s="897">
        <f t="shared" si="30"/>
        <v>-14.360733055781452</v>
      </c>
      <c r="BH71" s="966">
        <f t="shared" si="31"/>
        <v>0.05966099999999841</v>
      </c>
      <c r="BI71" s="373">
        <f t="shared" si="32"/>
        <v>0.12215082999647109</v>
      </c>
    </row>
    <row r="72" spans="1:61" s="8" customFormat="1" ht="16.5" customHeight="1" hidden="1">
      <c r="A72" s="302"/>
      <c r="B72" s="655" t="s">
        <v>88</v>
      </c>
      <c r="C72" s="180"/>
      <c r="D72" s="687" t="s">
        <v>89</v>
      </c>
      <c r="E72" s="620">
        <v>0</v>
      </c>
      <c r="F72" s="221">
        <v>0</v>
      </c>
      <c r="G72" s="303"/>
      <c r="H72" s="303">
        <v>0</v>
      </c>
      <c r="I72" s="304"/>
      <c r="J72" s="307"/>
      <c r="K72" s="541"/>
      <c r="L72" s="305">
        <f t="shared" si="80"/>
        <v>0</v>
      </c>
      <c r="M72" s="303"/>
      <c r="N72" s="304"/>
      <c r="O72" s="303"/>
      <c r="P72" s="304">
        <v>0</v>
      </c>
      <c r="Q72" s="303"/>
      <c r="R72" s="304"/>
      <c r="S72" s="303"/>
      <c r="T72" s="306">
        <v>0</v>
      </c>
      <c r="U72" s="308">
        <v>0</v>
      </c>
      <c r="V72" s="582">
        <v>0</v>
      </c>
      <c r="W72" s="221">
        <v>0</v>
      </c>
      <c r="X72" s="541">
        <v>0</v>
      </c>
      <c r="Y72" s="306">
        <v>0</v>
      </c>
      <c r="Z72" s="307">
        <v>0</v>
      </c>
      <c r="AA72" s="937">
        <v>0</v>
      </c>
      <c r="AB72" s="541">
        <v>0</v>
      </c>
      <c r="AC72" s="298">
        <f t="shared" si="81"/>
        <v>0</v>
      </c>
      <c r="AD72" s="303">
        <v>0</v>
      </c>
      <c r="AE72" s="303">
        <v>0</v>
      </c>
      <c r="AF72" s="303">
        <v>0</v>
      </c>
      <c r="AG72" s="303">
        <v>0</v>
      </c>
      <c r="AH72" s="303">
        <v>0</v>
      </c>
      <c r="AI72" s="303">
        <v>0</v>
      </c>
      <c r="AJ72" s="307">
        <v>0</v>
      </c>
      <c r="AK72" s="430">
        <v>0</v>
      </c>
      <c r="AL72" s="303">
        <v>0</v>
      </c>
      <c r="AM72" s="309">
        <v>0</v>
      </c>
      <c r="AN72" s="272">
        <f t="shared" si="82"/>
        <v>0</v>
      </c>
      <c r="AO72" s="335">
        <v>0</v>
      </c>
      <c r="AP72" s="359">
        <f t="shared" si="86"/>
        <v>0</v>
      </c>
      <c r="AQ72" s="507">
        <f t="shared" si="83"/>
        <v>0</v>
      </c>
      <c r="AR72" s="399">
        <v>0</v>
      </c>
      <c r="AS72" s="372">
        <f t="shared" si="84"/>
        <v>0</v>
      </c>
      <c r="AT72" s="714">
        <v>0</v>
      </c>
      <c r="AU72" s="557">
        <f t="shared" si="18"/>
        <v>0</v>
      </c>
      <c r="AV72" s="742">
        <f t="shared" si="19"/>
        <v>0</v>
      </c>
      <c r="AW72" s="709" t="e">
        <f t="shared" si="20"/>
        <v>#DIV/0!</v>
      </c>
      <c r="AX72" s="742">
        <f t="shared" si="21"/>
        <v>0</v>
      </c>
      <c r="AY72" s="765" t="e">
        <f t="shared" si="22"/>
        <v>#DIV/0!</v>
      </c>
      <c r="AZ72" s="557">
        <f t="shared" si="23"/>
        <v>0</v>
      </c>
      <c r="BA72" s="795">
        <f t="shared" si="24"/>
        <v>0</v>
      </c>
      <c r="BB72" s="453" t="e">
        <f t="shared" si="25"/>
        <v>#DIV/0!</v>
      </c>
      <c r="BC72" s="453">
        <f t="shared" si="26"/>
        <v>0</v>
      </c>
      <c r="BD72" s="765" t="e">
        <f t="shared" si="27"/>
        <v>#DIV/0!</v>
      </c>
      <c r="BE72" s="89">
        <f t="shared" si="28"/>
        <v>0</v>
      </c>
      <c r="BF72" s="967">
        <f t="shared" si="29"/>
        <v>0</v>
      </c>
      <c r="BG72" s="897" t="e">
        <f t="shared" si="30"/>
        <v>#DIV/0!</v>
      </c>
      <c r="BH72" s="966">
        <f t="shared" si="31"/>
        <v>0</v>
      </c>
      <c r="BI72" s="373" t="e">
        <f t="shared" si="32"/>
        <v>#DIV/0!</v>
      </c>
    </row>
    <row r="73" spans="1:61" s="8" customFormat="1" ht="16.5" customHeight="1">
      <c r="A73" s="407"/>
      <c r="B73" s="655" t="s">
        <v>148</v>
      </c>
      <c r="C73" s="195"/>
      <c r="D73" s="688" t="s">
        <v>118</v>
      </c>
      <c r="E73" s="621">
        <v>0.019909</v>
      </c>
      <c r="F73" s="358">
        <v>0.024424</v>
      </c>
      <c r="G73" s="236">
        <v>0.084588</v>
      </c>
      <c r="H73" s="243">
        <f>E73+F73+G73</f>
        <v>0.128921</v>
      </c>
      <c r="I73" s="149"/>
      <c r="J73" s="106"/>
      <c r="K73" s="542">
        <v>0</v>
      </c>
      <c r="L73" s="151">
        <f t="shared" si="80"/>
        <v>0</v>
      </c>
      <c r="M73" s="250"/>
      <c r="N73" s="277"/>
      <c r="O73" s="250"/>
      <c r="P73" s="148">
        <f>M73+N73+O73</f>
        <v>0</v>
      </c>
      <c r="Q73" s="263"/>
      <c r="R73" s="297"/>
      <c r="S73" s="263"/>
      <c r="T73" s="384">
        <f>Q73+R73+S73</f>
        <v>0</v>
      </c>
      <c r="U73" s="95">
        <f>H73+L73+P73+T73</f>
        <v>0.128921</v>
      </c>
      <c r="V73" s="583">
        <v>0.021795</v>
      </c>
      <c r="W73" s="358">
        <v>0.008041</v>
      </c>
      <c r="X73" s="542">
        <v>0</v>
      </c>
      <c r="Y73" s="812">
        <f>V73+W73+X73</f>
        <v>0.029835999999999998</v>
      </c>
      <c r="Z73" s="106">
        <v>0</v>
      </c>
      <c r="AA73" s="927">
        <v>0</v>
      </c>
      <c r="AB73" s="542">
        <v>0</v>
      </c>
      <c r="AC73" s="240">
        <f t="shared" si="81"/>
        <v>0</v>
      </c>
      <c r="AD73" s="250">
        <v>0.03417</v>
      </c>
      <c r="AE73" s="250">
        <v>1.843616</v>
      </c>
      <c r="AF73" s="250">
        <v>0.072042</v>
      </c>
      <c r="AG73" s="166">
        <f>AD73+AE73+AF73</f>
        <v>1.949828</v>
      </c>
      <c r="AH73" s="263">
        <v>1.575429</v>
      </c>
      <c r="AI73" s="263">
        <v>1.025575</v>
      </c>
      <c r="AJ73" s="120">
        <v>1.363864</v>
      </c>
      <c r="AK73" s="416">
        <f>AH73+AI73+AJ73</f>
        <v>3.9648679999999996</v>
      </c>
      <c r="AL73" s="162">
        <f>Y73+AC73+AG73+AK73</f>
        <v>5.944532</v>
      </c>
      <c r="AM73" s="150"/>
      <c r="AN73" s="272">
        <f t="shared" si="82"/>
        <v>-0.0018859999999999988</v>
      </c>
      <c r="AO73" s="332">
        <f t="shared" si="85"/>
        <v>-8.653360862583156</v>
      </c>
      <c r="AP73" s="351">
        <f t="shared" si="86"/>
        <v>0.029835999999999998</v>
      </c>
      <c r="AQ73" s="507">
        <f t="shared" si="83"/>
        <v>0.016383</v>
      </c>
      <c r="AR73" s="373"/>
      <c r="AS73" s="372">
        <f t="shared" si="84"/>
        <v>0.099085</v>
      </c>
      <c r="AT73" s="712">
        <f t="shared" si="88"/>
        <v>332.09880681056444</v>
      </c>
      <c r="AU73" s="557">
        <f t="shared" si="18"/>
        <v>0.029835999999999998</v>
      </c>
      <c r="AV73" s="759">
        <f t="shared" si="19"/>
        <v>0</v>
      </c>
      <c r="AW73" s="760">
        <v>0</v>
      </c>
      <c r="AX73" s="742">
        <f t="shared" si="21"/>
        <v>0.099085</v>
      </c>
      <c r="AY73" s="765">
        <f t="shared" si="22"/>
        <v>332.09880681056444</v>
      </c>
      <c r="AZ73" s="557">
        <f t="shared" si="23"/>
        <v>0.029835999999999998</v>
      </c>
      <c r="BA73" s="795">
        <f t="shared" si="24"/>
        <v>0</v>
      </c>
      <c r="BB73" s="453" t="e">
        <f t="shared" si="25"/>
        <v>#DIV/0!</v>
      </c>
      <c r="BC73" s="453">
        <f t="shared" si="26"/>
        <v>0.099085</v>
      </c>
      <c r="BD73" s="765">
        <f t="shared" si="27"/>
        <v>332.09880681056444</v>
      </c>
      <c r="BE73" s="89">
        <f t="shared" si="28"/>
        <v>0.029835999999999998</v>
      </c>
      <c r="BF73" s="974">
        <f t="shared" si="29"/>
        <v>0</v>
      </c>
      <c r="BG73" s="974">
        <v>0</v>
      </c>
      <c r="BH73" s="966">
        <f t="shared" si="31"/>
        <v>0.099085</v>
      </c>
      <c r="BI73" s="373">
        <f t="shared" si="32"/>
        <v>332.09880681056444</v>
      </c>
    </row>
    <row r="74" spans="1:61" s="8" customFormat="1" ht="16.5" customHeight="1">
      <c r="A74" s="407"/>
      <c r="B74" s="655" t="s">
        <v>159</v>
      </c>
      <c r="C74" s="195"/>
      <c r="D74" s="688" t="s">
        <v>119</v>
      </c>
      <c r="E74" s="621">
        <v>1.080774</v>
      </c>
      <c r="F74" s="351">
        <v>1.601445</v>
      </c>
      <c r="G74" s="236">
        <v>1.710694</v>
      </c>
      <c r="H74" s="243">
        <f>E74+F74+G74</f>
        <v>4.392913</v>
      </c>
      <c r="I74" s="277">
        <v>1.88105</v>
      </c>
      <c r="J74" s="734">
        <v>0.967881</v>
      </c>
      <c r="K74" s="754">
        <v>0.047363</v>
      </c>
      <c r="L74" s="148">
        <f t="shared" si="80"/>
        <v>2.896294</v>
      </c>
      <c r="M74" s="250"/>
      <c r="N74" s="149"/>
      <c r="O74" s="250"/>
      <c r="P74" s="148">
        <f>M74+N74+O74</f>
        <v>0</v>
      </c>
      <c r="Q74" s="250"/>
      <c r="R74" s="277"/>
      <c r="S74" s="236"/>
      <c r="T74" s="384">
        <f>Q74+R74+S74</f>
        <v>0</v>
      </c>
      <c r="U74" s="95">
        <f>H74+L74+P74+T74</f>
        <v>7.289207</v>
      </c>
      <c r="V74" s="583">
        <v>0.340296</v>
      </c>
      <c r="W74" s="351">
        <v>0.240318</v>
      </c>
      <c r="X74" s="543">
        <v>0.463883</v>
      </c>
      <c r="Y74" s="812">
        <f>V74+W74+X74</f>
        <v>1.044497</v>
      </c>
      <c r="Z74" s="734">
        <v>3.440236</v>
      </c>
      <c r="AA74" s="926">
        <v>5.085458</v>
      </c>
      <c r="AB74" s="754">
        <v>3.195618</v>
      </c>
      <c r="AC74" s="166">
        <f t="shared" si="81"/>
        <v>11.721312</v>
      </c>
      <c r="AD74" s="250">
        <v>0.081257</v>
      </c>
      <c r="AE74" s="109">
        <v>0</v>
      </c>
      <c r="AF74" s="250">
        <v>1.677134</v>
      </c>
      <c r="AG74" s="166">
        <f>AD74+AE74+AF74</f>
        <v>1.7583909999999998</v>
      </c>
      <c r="AH74" s="250">
        <v>0.271173</v>
      </c>
      <c r="AI74" s="250">
        <v>0.603252</v>
      </c>
      <c r="AJ74" s="110">
        <v>0.46645</v>
      </c>
      <c r="AK74" s="416">
        <f>AH74+AI74+AJ74</f>
        <v>1.340875</v>
      </c>
      <c r="AL74" s="162">
        <f>Y74+AC74+AG74+AK74</f>
        <v>15.865075</v>
      </c>
      <c r="AM74" s="150"/>
      <c r="AN74" s="272">
        <f t="shared" si="82"/>
        <v>0.740478</v>
      </c>
      <c r="AO74" s="332">
        <f t="shared" si="85"/>
        <v>217.59820861837926</v>
      </c>
      <c r="AP74" s="351">
        <f t="shared" si="86"/>
        <v>0.580614</v>
      </c>
      <c r="AQ74" s="507">
        <f t="shared" si="83"/>
        <v>1.361127</v>
      </c>
      <c r="AR74" s="373"/>
      <c r="AS74" s="372">
        <f t="shared" si="84"/>
        <v>6.7085930000000005</v>
      </c>
      <c r="AT74" s="712"/>
      <c r="AU74" s="557">
        <f aca="true" t="shared" si="89" ref="AU74:AU101">Y74+Z74</f>
        <v>4.484733</v>
      </c>
      <c r="AV74" s="742">
        <f aca="true" t="shared" si="90" ref="AV74:AV101">I74-Z74</f>
        <v>-1.559186</v>
      </c>
      <c r="AW74" s="709">
        <f aca="true" t="shared" si="91" ref="AW74:AW101">I74/Z74*100-100</f>
        <v>-45.32206511413752</v>
      </c>
      <c r="AX74" s="742">
        <f aca="true" t="shared" si="92" ref="AX74:AX101">U74-AU74</f>
        <v>2.804474</v>
      </c>
      <c r="AY74" s="765">
        <f aca="true" t="shared" si="93" ref="AY74:AY101">U74/AU74*100-100</f>
        <v>62.533800785910785</v>
      </c>
      <c r="AZ74" s="557">
        <f aca="true" t="shared" si="94" ref="AZ74:AZ101">AA74+AU74</f>
        <v>9.570191000000001</v>
      </c>
      <c r="BA74" s="795">
        <f aca="true" t="shared" si="95" ref="BA74:BA101">J74-AA74</f>
        <v>-4.117577</v>
      </c>
      <c r="BB74" s="453">
        <f aca="true" t="shared" si="96" ref="BB74:BB101">J74/AA74*100-100</f>
        <v>-80.96767292149498</v>
      </c>
      <c r="BC74" s="453">
        <f aca="true" t="shared" si="97" ref="BC74:BC101">U74-AZ74</f>
        <v>-2.280984000000001</v>
      </c>
      <c r="BD74" s="765">
        <f aca="true" t="shared" si="98" ref="BD74:BD101">U74/AZ74*100-100</f>
        <v>-23.834257853369905</v>
      </c>
      <c r="BE74" s="89">
        <f aca="true" t="shared" si="99" ref="BE74:BE101">AB74+AZ74</f>
        <v>12.765809</v>
      </c>
      <c r="BF74" s="967">
        <f aca="true" t="shared" si="100" ref="BF74:BF101">K74-AB74</f>
        <v>-3.1482550000000002</v>
      </c>
      <c r="BG74" s="897">
        <f aca="true" t="shared" si="101" ref="BG74:BG100">K74/AB74*100-100</f>
        <v>-98.51787666736136</v>
      </c>
      <c r="BH74" s="966">
        <f aca="true" t="shared" si="102" ref="BH74:BH101">U74-BE74</f>
        <v>-5.476602000000001</v>
      </c>
      <c r="BI74" s="373">
        <f aca="true" t="shared" si="103" ref="BI74:BI101">U74/BE74*100-100</f>
        <v>-42.90054786187072</v>
      </c>
    </row>
    <row r="75" spans="1:61" s="8" customFormat="1" ht="16.5" customHeight="1" hidden="1">
      <c r="A75" s="407"/>
      <c r="B75" s="689" t="s">
        <v>112</v>
      </c>
      <c r="C75" s="195"/>
      <c r="D75" s="688" t="s">
        <v>113</v>
      </c>
      <c r="E75" s="620">
        <v>0</v>
      </c>
      <c r="F75" s="359">
        <v>0</v>
      </c>
      <c r="G75" s="109"/>
      <c r="H75" s="109">
        <v>0</v>
      </c>
      <c r="I75" s="149"/>
      <c r="J75" s="106"/>
      <c r="K75" s="542"/>
      <c r="L75" s="276">
        <f t="shared" si="80"/>
        <v>0</v>
      </c>
      <c r="M75" s="109"/>
      <c r="N75" s="149"/>
      <c r="O75" s="109"/>
      <c r="P75" s="276">
        <f>M75+N75+O75</f>
        <v>0</v>
      </c>
      <c r="Q75" s="109"/>
      <c r="R75" s="149"/>
      <c r="S75" s="109"/>
      <c r="T75" s="122">
        <f>Q75+R75+S75</f>
        <v>0</v>
      </c>
      <c r="U75" s="326">
        <f>H75+L75+P75+T75</f>
        <v>0</v>
      </c>
      <c r="V75" s="582">
        <v>0</v>
      </c>
      <c r="W75" s="359">
        <v>0</v>
      </c>
      <c r="X75" s="542">
        <v>0</v>
      </c>
      <c r="Y75" s="104">
        <v>0</v>
      </c>
      <c r="Z75" s="106">
        <v>0</v>
      </c>
      <c r="AA75" s="927">
        <v>0</v>
      </c>
      <c r="AB75" s="542">
        <v>0</v>
      </c>
      <c r="AC75" s="241">
        <f t="shared" si="81"/>
        <v>0</v>
      </c>
      <c r="AD75" s="109">
        <v>0</v>
      </c>
      <c r="AE75" s="109">
        <v>0</v>
      </c>
      <c r="AF75" s="109">
        <v>0</v>
      </c>
      <c r="AG75" s="241">
        <f>AD75+AE75+AF75</f>
        <v>0</v>
      </c>
      <c r="AH75" s="109">
        <v>0</v>
      </c>
      <c r="AI75" s="109">
        <v>0</v>
      </c>
      <c r="AJ75" s="106">
        <v>0</v>
      </c>
      <c r="AK75" s="418">
        <f>AH75+AI75+AJ75</f>
        <v>0</v>
      </c>
      <c r="AL75" s="260">
        <f>Y75+AC75+AG75+AK75</f>
        <v>0</v>
      </c>
      <c r="AM75" s="105">
        <v>0</v>
      </c>
      <c r="AN75" s="377">
        <f t="shared" si="82"/>
        <v>0</v>
      </c>
      <c r="AO75" s="337">
        <v>0</v>
      </c>
      <c r="AP75" s="359">
        <f t="shared" si="86"/>
        <v>0</v>
      </c>
      <c r="AQ75" s="507">
        <f t="shared" si="83"/>
        <v>0</v>
      </c>
      <c r="AR75" s="399">
        <v>0</v>
      </c>
      <c r="AS75" s="372">
        <f t="shared" si="84"/>
        <v>0</v>
      </c>
      <c r="AT75" s="714">
        <v>0</v>
      </c>
      <c r="AU75" s="557">
        <f t="shared" si="89"/>
        <v>0</v>
      </c>
      <c r="AV75" s="742">
        <f t="shared" si="90"/>
        <v>0</v>
      </c>
      <c r="AW75" s="709" t="e">
        <f t="shared" si="91"/>
        <v>#DIV/0!</v>
      </c>
      <c r="AX75" s="742">
        <f t="shared" si="92"/>
        <v>0</v>
      </c>
      <c r="AY75" s="765" t="e">
        <f t="shared" si="93"/>
        <v>#DIV/0!</v>
      </c>
      <c r="AZ75" s="557">
        <f t="shared" si="94"/>
        <v>0</v>
      </c>
      <c r="BA75" s="795">
        <f t="shared" si="95"/>
        <v>0</v>
      </c>
      <c r="BB75" s="453" t="e">
        <f t="shared" si="96"/>
        <v>#DIV/0!</v>
      </c>
      <c r="BC75" s="453">
        <f t="shared" si="97"/>
        <v>0</v>
      </c>
      <c r="BD75" s="765" t="e">
        <f t="shared" si="98"/>
        <v>#DIV/0!</v>
      </c>
      <c r="BE75" s="89">
        <f t="shared" si="99"/>
        <v>0</v>
      </c>
      <c r="BF75" s="967">
        <f t="shared" si="100"/>
        <v>0</v>
      </c>
      <c r="BG75" s="897" t="e">
        <f t="shared" si="101"/>
        <v>#DIV/0!</v>
      </c>
      <c r="BH75" s="966">
        <f t="shared" si="102"/>
        <v>0</v>
      </c>
      <c r="BI75" s="373" t="e">
        <f t="shared" si="103"/>
        <v>#DIV/0!</v>
      </c>
    </row>
    <row r="76" spans="1:61" s="8" customFormat="1" ht="16.5" customHeight="1" hidden="1">
      <c r="A76" s="407"/>
      <c r="B76" s="689" t="s">
        <v>117</v>
      </c>
      <c r="C76" s="195"/>
      <c r="D76" s="634" t="s">
        <v>114</v>
      </c>
      <c r="E76" s="620">
        <v>0</v>
      </c>
      <c r="F76" s="359">
        <v>0</v>
      </c>
      <c r="G76" s="109"/>
      <c r="H76" s="109">
        <v>0</v>
      </c>
      <c r="I76" s="149"/>
      <c r="J76" s="106"/>
      <c r="K76" s="542"/>
      <c r="L76" s="276">
        <f t="shared" si="80"/>
        <v>0</v>
      </c>
      <c r="M76" s="109"/>
      <c r="N76" s="149"/>
      <c r="O76" s="109"/>
      <c r="P76" s="276">
        <f>M76+N76+O76</f>
        <v>0</v>
      </c>
      <c r="Q76" s="109"/>
      <c r="R76" s="149"/>
      <c r="S76" s="109"/>
      <c r="T76" s="122">
        <f>Q76+R76+S76</f>
        <v>0</v>
      </c>
      <c r="U76" s="326">
        <f>H76+L76+P76+T76</f>
        <v>0</v>
      </c>
      <c r="V76" s="582">
        <v>0</v>
      </c>
      <c r="W76" s="359">
        <v>0</v>
      </c>
      <c r="X76" s="542">
        <v>0</v>
      </c>
      <c r="Y76" s="104">
        <v>0</v>
      </c>
      <c r="Z76" s="106">
        <v>0</v>
      </c>
      <c r="AA76" s="927">
        <v>0</v>
      </c>
      <c r="AB76" s="542">
        <v>0</v>
      </c>
      <c r="AC76" s="241">
        <f t="shared" si="81"/>
        <v>0</v>
      </c>
      <c r="AD76" s="109">
        <v>0</v>
      </c>
      <c r="AE76" s="109">
        <v>0.461419</v>
      </c>
      <c r="AF76" s="109">
        <v>0.898505</v>
      </c>
      <c r="AG76" s="241">
        <f>AD76+AE76+AF76</f>
        <v>1.359924</v>
      </c>
      <c r="AH76" s="109">
        <v>0.369343</v>
      </c>
      <c r="AI76" s="109">
        <v>0</v>
      </c>
      <c r="AJ76" s="106">
        <v>0</v>
      </c>
      <c r="AK76" s="418">
        <f>AH76+AI76+AJ76</f>
        <v>0.369343</v>
      </c>
      <c r="AL76" s="260">
        <f>Y76+AC76+AG76+AK76</f>
        <v>1.7292669999999999</v>
      </c>
      <c r="AM76" s="105">
        <v>0</v>
      </c>
      <c r="AN76" s="377">
        <f t="shared" si="82"/>
        <v>0</v>
      </c>
      <c r="AO76" s="337">
        <v>0</v>
      </c>
      <c r="AP76" s="359">
        <f t="shared" si="86"/>
        <v>0</v>
      </c>
      <c r="AQ76" s="507">
        <f t="shared" si="83"/>
        <v>0</v>
      </c>
      <c r="AR76" s="399">
        <v>0</v>
      </c>
      <c r="AS76" s="372">
        <f t="shared" si="84"/>
        <v>0</v>
      </c>
      <c r="AT76" s="714">
        <v>0</v>
      </c>
      <c r="AU76" s="557">
        <f t="shared" si="89"/>
        <v>0</v>
      </c>
      <c r="AV76" s="742">
        <f t="shared" si="90"/>
        <v>0</v>
      </c>
      <c r="AW76" s="709" t="e">
        <f t="shared" si="91"/>
        <v>#DIV/0!</v>
      </c>
      <c r="AX76" s="742">
        <f t="shared" si="92"/>
        <v>0</v>
      </c>
      <c r="AY76" s="765" t="e">
        <f t="shared" si="93"/>
        <v>#DIV/0!</v>
      </c>
      <c r="AZ76" s="557">
        <f t="shared" si="94"/>
        <v>0</v>
      </c>
      <c r="BA76" s="795">
        <f t="shared" si="95"/>
        <v>0</v>
      </c>
      <c r="BB76" s="453" t="e">
        <f t="shared" si="96"/>
        <v>#DIV/0!</v>
      </c>
      <c r="BC76" s="453">
        <f t="shared" si="97"/>
        <v>0</v>
      </c>
      <c r="BD76" s="765" t="e">
        <f t="shared" si="98"/>
        <v>#DIV/0!</v>
      </c>
      <c r="BE76" s="89">
        <f t="shared" si="99"/>
        <v>0</v>
      </c>
      <c r="BF76" s="967">
        <f t="shared" si="100"/>
        <v>0</v>
      </c>
      <c r="BG76" s="897" t="e">
        <f t="shared" si="101"/>
        <v>#DIV/0!</v>
      </c>
      <c r="BH76" s="966">
        <f t="shared" si="102"/>
        <v>0</v>
      </c>
      <c r="BI76" s="373" t="e">
        <f t="shared" si="103"/>
        <v>#DIV/0!</v>
      </c>
    </row>
    <row r="77" spans="1:61" s="65" customFormat="1" ht="17.25" customHeight="1">
      <c r="A77" s="592">
        <v>7</v>
      </c>
      <c r="B77" s="660" t="s">
        <v>64</v>
      </c>
      <c r="C77" s="323"/>
      <c r="D77" s="661"/>
      <c r="E77" s="622">
        <f>E52-E66</f>
        <v>598.578474</v>
      </c>
      <c r="F77" s="213">
        <f>F52-F66</f>
        <v>547.4136540000001</v>
      </c>
      <c r="G77" s="227">
        <f aca="true" t="shared" si="104" ref="G77:U77">G52-G66</f>
        <v>491.38136199999997</v>
      </c>
      <c r="H77" s="227">
        <f t="shared" si="104"/>
        <v>1637.3734900000004</v>
      </c>
      <c r="I77" s="152">
        <f t="shared" si="104"/>
        <v>513.7054850000002</v>
      </c>
      <c r="J77" s="130">
        <f t="shared" si="104"/>
        <v>405.240497</v>
      </c>
      <c r="K77" s="772">
        <f t="shared" si="104"/>
        <v>395.80918699999995</v>
      </c>
      <c r="L77" s="152">
        <f t="shared" si="104"/>
        <v>1314.755169</v>
      </c>
      <c r="M77" s="159">
        <f t="shared" si="104"/>
        <v>0</v>
      </c>
      <c r="N77" s="152">
        <f t="shared" si="104"/>
        <v>0</v>
      </c>
      <c r="O77" s="159">
        <f t="shared" si="104"/>
        <v>0</v>
      </c>
      <c r="P77" s="152">
        <f t="shared" si="104"/>
        <v>0</v>
      </c>
      <c r="Q77" s="159">
        <f t="shared" si="104"/>
        <v>0</v>
      </c>
      <c r="R77" s="152">
        <f t="shared" si="104"/>
        <v>0</v>
      </c>
      <c r="S77" s="159">
        <f t="shared" si="104"/>
        <v>0</v>
      </c>
      <c r="T77" s="129">
        <f t="shared" si="104"/>
        <v>0</v>
      </c>
      <c r="U77" s="173">
        <f t="shared" si="104"/>
        <v>2952.1289810000003</v>
      </c>
      <c r="V77" s="584">
        <f>V52-V66</f>
        <v>588.358174</v>
      </c>
      <c r="W77" s="213">
        <f>W52-W66</f>
        <v>525.4788689999999</v>
      </c>
      <c r="X77" s="536">
        <f aca="true" t="shared" si="105" ref="X77:AL77">X52-X66</f>
        <v>530.845297</v>
      </c>
      <c r="Y77" s="813">
        <f t="shared" si="105"/>
        <v>1644.6823399999998</v>
      </c>
      <c r="Z77" s="130">
        <f t="shared" si="105"/>
        <v>512.257857</v>
      </c>
      <c r="AA77" s="97">
        <f t="shared" si="105"/>
        <v>521.363061</v>
      </c>
      <c r="AB77" s="772">
        <f t="shared" si="105"/>
        <v>529.1088799999999</v>
      </c>
      <c r="AC77" s="159">
        <f t="shared" si="105"/>
        <v>1562.729798</v>
      </c>
      <c r="AD77" s="159">
        <f t="shared" si="105"/>
        <v>540.990522</v>
      </c>
      <c r="AE77" s="159">
        <f t="shared" si="105"/>
        <v>609.0111440000001</v>
      </c>
      <c r="AF77" s="159">
        <f t="shared" si="105"/>
        <v>587.131328</v>
      </c>
      <c r="AG77" s="159">
        <f t="shared" si="105"/>
        <v>1737.132994</v>
      </c>
      <c r="AH77" s="159">
        <f t="shared" si="105"/>
        <v>532.1303540000001</v>
      </c>
      <c r="AI77" s="159">
        <f t="shared" si="105"/>
        <v>571.328091</v>
      </c>
      <c r="AJ77" s="130">
        <f t="shared" si="105"/>
        <v>652.9186500000002</v>
      </c>
      <c r="AK77" s="420">
        <f t="shared" si="105"/>
        <v>1756.3770950000003</v>
      </c>
      <c r="AL77" s="159">
        <f t="shared" si="105"/>
        <v>6700.922227</v>
      </c>
      <c r="AM77" s="204"/>
      <c r="AN77" s="271">
        <f t="shared" si="82"/>
        <v>10.220300000000066</v>
      </c>
      <c r="AO77" s="334">
        <f t="shared" si="85"/>
        <v>1.7370881295855014</v>
      </c>
      <c r="AP77" s="555">
        <f t="shared" si="86"/>
        <v>1113.837043</v>
      </c>
      <c r="AQ77" s="508">
        <f t="shared" si="83"/>
        <v>21.934785000000147</v>
      </c>
      <c r="AR77" s="375">
        <f t="shared" si="87"/>
        <v>4.174246823995546</v>
      </c>
      <c r="AS77" s="374">
        <f t="shared" si="84"/>
        <v>1838.2919380000003</v>
      </c>
      <c r="AT77" s="825">
        <f t="shared" si="88"/>
        <v>165.04137203488574</v>
      </c>
      <c r="AU77" s="559">
        <f t="shared" si="89"/>
        <v>2156.940197</v>
      </c>
      <c r="AV77" s="801">
        <f t="shared" si="90"/>
        <v>1.4476280000002362</v>
      </c>
      <c r="AW77" s="797">
        <f t="shared" si="91"/>
        <v>0.2825975200220938</v>
      </c>
      <c r="AX77" s="801">
        <f t="shared" si="92"/>
        <v>795.1887840000004</v>
      </c>
      <c r="AY77" s="892">
        <f t="shared" si="93"/>
        <v>36.866519762856484</v>
      </c>
      <c r="AZ77" s="559">
        <f t="shared" si="94"/>
        <v>2678.303258</v>
      </c>
      <c r="BA77" s="796">
        <f t="shared" si="95"/>
        <v>-116.12256400000001</v>
      </c>
      <c r="BB77" s="516">
        <f t="shared" si="96"/>
        <v>-22.272879052319354</v>
      </c>
      <c r="BC77" s="516">
        <f t="shared" si="97"/>
        <v>273.8257230000004</v>
      </c>
      <c r="BD77" s="892">
        <f t="shared" si="98"/>
        <v>10.223850573384198</v>
      </c>
      <c r="BE77" s="968">
        <f t="shared" si="99"/>
        <v>3207.4121379999997</v>
      </c>
      <c r="BF77" s="969">
        <f t="shared" si="100"/>
        <v>-133.29969299999993</v>
      </c>
      <c r="BG77" s="896">
        <f t="shared" si="101"/>
        <v>-25.193244346985807</v>
      </c>
      <c r="BH77" s="970">
        <f t="shared" si="102"/>
        <v>-255.2831569999994</v>
      </c>
      <c r="BI77" s="375">
        <f t="shared" si="103"/>
        <v>-7.9591629019394645</v>
      </c>
    </row>
    <row r="78" spans="1:61" s="48" customFormat="1" ht="17.25" customHeight="1">
      <c r="A78" s="591"/>
      <c r="B78" s="646" t="s">
        <v>66</v>
      </c>
      <c r="C78" s="196"/>
      <c r="D78" s="690" t="s">
        <v>67</v>
      </c>
      <c r="E78" s="524">
        <f>E77-E79</f>
        <v>518.662112</v>
      </c>
      <c r="F78" s="360">
        <f>F77-F79</f>
        <v>446.57893900000005</v>
      </c>
      <c r="G78" s="229">
        <f>G77-G79</f>
        <v>392.23096699999996</v>
      </c>
      <c r="H78" s="247">
        <f>E78+F78+G78</f>
        <v>1357.472018</v>
      </c>
      <c r="I78" s="280">
        <f>I77-I79</f>
        <v>312.67473900000016</v>
      </c>
      <c r="J78" s="755">
        <f>J77-J79</f>
        <v>284.352298</v>
      </c>
      <c r="K78" s="744">
        <f>K77-K79</f>
        <v>302.53854299999995</v>
      </c>
      <c r="L78" s="154">
        <f>I78+J78+K78</f>
        <v>899.5655800000002</v>
      </c>
      <c r="M78" s="207">
        <f>M77-M79</f>
        <v>0</v>
      </c>
      <c r="N78" s="280">
        <f>N77-N79</f>
        <v>0</v>
      </c>
      <c r="O78" s="207">
        <f>O77-O79</f>
        <v>0</v>
      </c>
      <c r="P78" s="154">
        <f aca="true" t="shared" si="106" ref="P78:P86">M78+N78+O78</f>
        <v>0</v>
      </c>
      <c r="Q78" s="162">
        <f>Q77-Q79</f>
        <v>0</v>
      </c>
      <c r="R78" s="154">
        <f>R77-R79</f>
        <v>0</v>
      </c>
      <c r="S78" s="162">
        <f>S77-S79</f>
        <v>0</v>
      </c>
      <c r="T78" s="391">
        <f>T77-T79</f>
        <v>0</v>
      </c>
      <c r="U78" s="95">
        <f>H78+L78+P78+T78</f>
        <v>2257.037598</v>
      </c>
      <c r="V78" s="568">
        <f>V77-V79</f>
        <v>529.531134</v>
      </c>
      <c r="W78" s="360">
        <f>W77-W79</f>
        <v>479.1272219999999</v>
      </c>
      <c r="X78" s="526">
        <f>X77-X79</f>
        <v>473.23279699999995</v>
      </c>
      <c r="Y78" s="811">
        <f aca="true" t="shared" si="107" ref="Y78:Y100">V78+W78+X78</f>
        <v>1481.8911529999998</v>
      </c>
      <c r="Z78" s="755">
        <f>Z77-Z79</f>
        <v>351.28076</v>
      </c>
      <c r="AA78" s="510">
        <f>AA77-AA79</f>
        <v>314.843407</v>
      </c>
      <c r="AB78" s="744">
        <f>AB77-AB79</f>
        <v>366.6691699999999</v>
      </c>
      <c r="AC78" s="162">
        <f aca="true" t="shared" si="108" ref="AC78:AC101">Z78+AA78+AB78</f>
        <v>1032.7933369999998</v>
      </c>
      <c r="AD78" s="207">
        <f>AD77-AD79</f>
        <v>451.39433700000006</v>
      </c>
      <c r="AE78" s="207">
        <f>AE77-AE79</f>
        <v>460.05061400000005</v>
      </c>
      <c r="AF78" s="207">
        <f>AF77-AF79</f>
        <v>434.50687000000005</v>
      </c>
      <c r="AG78" s="162">
        <f aca="true" t="shared" si="109" ref="AG78:AG100">AD78+AE78+AF78</f>
        <v>1345.951821</v>
      </c>
      <c r="AH78" s="162">
        <f>AH77-AH79</f>
        <v>407.56440200000014</v>
      </c>
      <c r="AI78" s="162">
        <f>AI77-AI79</f>
        <v>461.022816</v>
      </c>
      <c r="AJ78" s="269">
        <f>AJ77-AJ79</f>
        <v>549.1347250000002</v>
      </c>
      <c r="AK78" s="431">
        <f>AK77-AK79</f>
        <v>1417.7219430000002</v>
      </c>
      <c r="AL78" s="162">
        <f>Y78+AC78+AG78+AK78</f>
        <v>5278.358254</v>
      </c>
      <c r="AM78" s="153"/>
      <c r="AN78" s="272">
        <f t="shared" si="82"/>
        <v>-10.869021999999973</v>
      </c>
      <c r="AO78" s="332">
        <f t="shared" si="85"/>
        <v>-2.05257468392783</v>
      </c>
      <c r="AP78" s="351">
        <f t="shared" si="86"/>
        <v>1008.6583559999999</v>
      </c>
      <c r="AQ78" s="507">
        <f t="shared" si="83"/>
        <v>-32.548282999999856</v>
      </c>
      <c r="AR78" s="373">
        <f t="shared" si="87"/>
        <v>-6.7932443629762815</v>
      </c>
      <c r="AS78" s="372">
        <f t="shared" si="84"/>
        <v>1248.379242</v>
      </c>
      <c r="AT78" s="712">
        <f t="shared" si="88"/>
        <v>123.76631141496239</v>
      </c>
      <c r="AU78" s="557">
        <f t="shared" si="89"/>
        <v>1833.1719129999997</v>
      </c>
      <c r="AV78" s="742">
        <f t="shared" si="90"/>
        <v>-38.60602099999983</v>
      </c>
      <c r="AW78" s="709">
        <f t="shared" si="91"/>
        <v>-10.990075573737613</v>
      </c>
      <c r="AX78" s="742">
        <f t="shared" si="92"/>
        <v>423.8656850000002</v>
      </c>
      <c r="AY78" s="765">
        <f t="shared" si="93"/>
        <v>23.12198228622981</v>
      </c>
      <c r="AZ78" s="557">
        <f t="shared" si="94"/>
        <v>2148.0153199999995</v>
      </c>
      <c r="BA78" s="795">
        <f t="shared" si="95"/>
        <v>-30.491108999999994</v>
      </c>
      <c r="BB78" s="453">
        <f t="shared" si="96"/>
        <v>-9.68453152331692</v>
      </c>
      <c r="BC78" s="453">
        <f t="shared" si="97"/>
        <v>109.02227800000037</v>
      </c>
      <c r="BD78" s="765">
        <f t="shared" si="98"/>
        <v>5.075488847072123</v>
      </c>
      <c r="BE78" s="89">
        <f t="shared" si="99"/>
        <v>2514.6844899999996</v>
      </c>
      <c r="BF78" s="967">
        <f t="shared" si="100"/>
        <v>-64.13062699999995</v>
      </c>
      <c r="BG78" s="897">
        <f t="shared" si="101"/>
        <v>-17.490051590647766</v>
      </c>
      <c r="BH78" s="966">
        <f t="shared" si="102"/>
        <v>-257.64689199999975</v>
      </c>
      <c r="BI78" s="373">
        <f t="shared" si="103"/>
        <v>-10.245694560274629</v>
      </c>
    </row>
    <row r="79" spans="1:61" ht="13.5" customHeight="1">
      <c r="A79" s="409"/>
      <c r="B79" s="448" t="s">
        <v>68</v>
      </c>
      <c r="C79" s="176"/>
      <c r="D79" s="654" t="s">
        <v>69</v>
      </c>
      <c r="E79" s="524">
        <f>E80+E81+E82</f>
        <v>79.916362</v>
      </c>
      <c r="F79" s="354">
        <f>F80+F81+F82</f>
        <v>100.834715</v>
      </c>
      <c r="G79" s="226">
        <f>G80+G81+G82</f>
        <v>99.150395</v>
      </c>
      <c r="H79" s="243">
        <f>E79+F79+G79</f>
        <v>279.901472</v>
      </c>
      <c r="I79" s="278">
        <f>I80+I81+I82</f>
        <v>201.03074600000002</v>
      </c>
      <c r="J79" s="127">
        <f>J80+J81+J82</f>
        <v>120.888199</v>
      </c>
      <c r="K79" s="751">
        <f>K80+K81+K82</f>
        <v>93.270644</v>
      </c>
      <c r="L79" s="148">
        <f>I79+J79+K79</f>
        <v>415.189589</v>
      </c>
      <c r="M79" s="251">
        <f>M80+M81+M82</f>
        <v>0</v>
      </c>
      <c r="N79" s="278">
        <f>N80+N81+N82</f>
        <v>0</v>
      </c>
      <c r="O79" s="251">
        <f>O80+O81+O82</f>
        <v>0</v>
      </c>
      <c r="P79" s="148">
        <f t="shared" si="106"/>
        <v>0</v>
      </c>
      <c r="Q79" s="161">
        <f>Q80+Q81+Q82</f>
        <v>0</v>
      </c>
      <c r="R79" s="288">
        <f>R80+R81+R82</f>
        <v>0</v>
      </c>
      <c r="S79" s="161">
        <f>S80+S81+S82</f>
        <v>0</v>
      </c>
      <c r="T79" s="384">
        <f aca="true" t="shared" si="110" ref="T79:T86">Q79+R79+S79</f>
        <v>0</v>
      </c>
      <c r="U79" s="93">
        <f>H79+L79+P79+T79</f>
        <v>695.0910610000001</v>
      </c>
      <c r="V79" s="568">
        <f>V80+V81+V82</f>
        <v>58.82704</v>
      </c>
      <c r="W79" s="354">
        <f>W80+W81+W82</f>
        <v>46.351647</v>
      </c>
      <c r="X79" s="526">
        <f>X80+X81+X82</f>
        <v>57.6125</v>
      </c>
      <c r="Y79" s="812">
        <f t="shared" si="107"/>
        <v>162.79118699999998</v>
      </c>
      <c r="Z79" s="127">
        <f>Z80+Z81+Z82</f>
        <v>160.977097</v>
      </c>
      <c r="AA79" s="747">
        <f>AA80+AA81+AA82</f>
        <v>206.519654</v>
      </c>
      <c r="AB79" s="751">
        <f>AB80+AB81+AB82</f>
        <v>162.43971000000002</v>
      </c>
      <c r="AC79" s="166">
        <f t="shared" si="108"/>
        <v>529.936461</v>
      </c>
      <c r="AD79" s="251">
        <f>AD80+AD81+AD82</f>
        <v>89.596185</v>
      </c>
      <c r="AE79" s="251">
        <f>AE80+AE81+AE82</f>
        <v>148.96053</v>
      </c>
      <c r="AF79" s="251">
        <f>AF80+AF81+AF82</f>
        <v>152.624458</v>
      </c>
      <c r="AG79" s="166">
        <f t="shared" si="109"/>
        <v>391.181173</v>
      </c>
      <c r="AH79" s="161">
        <f>AH80+AH81+AH82</f>
        <v>124.565952</v>
      </c>
      <c r="AI79" s="161">
        <f>AI80+AI81+AI82</f>
        <v>110.305275</v>
      </c>
      <c r="AJ79" s="146">
        <f>AJ80+AJ81+AJ82</f>
        <v>103.783925</v>
      </c>
      <c r="AK79" s="416">
        <f aca="true" t="shared" si="111" ref="AK79:AK100">AH79+AI79+AJ79</f>
        <v>338.655152</v>
      </c>
      <c r="AL79" s="161">
        <f>Y79+AC79+AG79+AK79</f>
        <v>1422.563973</v>
      </c>
      <c r="AM79" s="126"/>
      <c r="AN79" s="272">
        <f t="shared" si="82"/>
        <v>21.08932200000001</v>
      </c>
      <c r="AO79" s="332">
        <f t="shared" si="85"/>
        <v>35.849707889433176</v>
      </c>
      <c r="AP79" s="351">
        <f t="shared" si="86"/>
        <v>105.178687</v>
      </c>
      <c r="AQ79" s="507">
        <f t="shared" si="83"/>
        <v>54.483068</v>
      </c>
      <c r="AR79" s="373">
        <f t="shared" si="87"/>
        <v>117.54289550919302</v>
      </c>
      <c r="AS79" s="372">
        <f t="shared" si="84"/>
        <v>589.9123740000001</v>
      </c>
      <c r="AT79" s="712">
        <f t="shared" si="88"/>
        <v>560.8668360729774</v>
      </c>
      <c r="AU79" s="557">
        <f t="shared" si="89"/>
        <v>323.768284</v>
      </c>
      <c r="AV79" s="742">
        <f t="shared" si="90"/>
        <v>40.053649000000036</v>
      </c>
      <c r="AW79" s="709">
        <f t="shared" si="91"/>
        <v>24.881582378144174</v>
      </c>
      <c r="AX79" s="742">
        <f t="shared" si="92"/>
        <v>371.3227770000001</v>
      </c>
      <c r="AY79" s="765">
        <f t="shared" si="93"/>
        <v>114.68781698209827</v>
      </c>
      <c r="AZ79" s="557">
        <f t="shared" si="94"/>
        <v>530.2879379999999</v>
      </c>
      <c r="BA79" s="795">
        <f t="shared" si="95"/>
        <v>-85.631455</v>
      </c>
      <c r="BB79" s="453">
        <f t="shared" si="96"/>
        <v>-41.464070533451505</v>
      </c>
      <c r="BC79" s="453">
        <f t="shared" si="97"/>
        <v>164.80312300000014</v>
      </c>
      <c r="BD79" s="765">
        <f t="shared" si="98"/>
        <v>31.078044811194673</v>
      </c>
      <c r="BE79" s="89">
        <f t="shared" si="99"/>
        <v>692.7276479999999</v>
      </c>
      <c r="BF79" s="967">
        <f t="shared" si="100"/>
        <v>-69.16906600000002</v>
      </c>
      <c r="BG79" s="897">
        <f t="shared" si="101"/>
        <v>-42.58137742304514</v>
      </c>
      <c r="BH79" s="966">
        <f t="shared" si="102"/>
        <v>2.3634130000001505</v>
      </c>
      <c r="BI79" s="373">
        <f t="shared" si="103"/>
        <v>0.3411749201614356</v>
      </c>
    </row>
    <row r="80" spans="1:61" ht="13.5" customHeight="1">
      <c r="A80" s="409"/>
      <c r="B80" s="379"/>
      <c r="C80" s="179" t="s">
        <v>70</v>
      </c>
      <c r="D80" s="654" t="s">
        <v>10</v>
      </c>
      <c r="E80" s="524">
        <v>74.80849</v>
      </c>
      <c r="F80" s="354">
        <v>96.911675</v>
      </c>
      <c r="G80" s="237">
        <v>97.942595</v>
      </c>
      <c r="H80" s="243">
        <f>E80+F80+G80</f>
        <v>269.66276</v>
      </c>
      <c r="I80" s="283">
        <v>199.056158</v>
      </c>
      <c r="J80" s="755">
        <v>120.769135</v>
      </c>
      <c r="K80" s="751">
        <v>93.204116</v>
      </c>
      <c r="L80" s="148">
        <f>I80+J80+K80</f>
        <v>413.029409</v>
      </c>
      <c r="M80" s="251"/>
      <c r="N80" s="278"/>
      <c r="O80" s="251"/>
      <c r="P80" s="148">
        <f t="shared" si="106"/>
        <v>0</v>
      </c>
      <c r="Q80" s="161"/>
      <c r="R80" s="288"/>
      <c r="S80" s="161"/>
      <c r="T80" s="384">
        <f t="shared" si="110"/>
        <v>0</v>
      </c>
      <c r="U80" s="93">
        <f>H80+L80+P80+T80</f>
        <v>682.6921689999999</v>
      </c>
      <c r="V80" s="568">
        <v>47.921068</v>
      </c>
      <c r="W80" s="354">
        <v>37.210515</v>
      </c>
      <c r="X80" s="544">
        <v>49.518128</v>
      </c>
      <c r="Y80" s="812">
        <f t="shared" si="107"/>
        <v>134.649711</v>
      </c>
      <c r="Z80" s="836">
        <v>155.773261</v>
      </c>
      <c r="AA80" s="747">
        <v>205.758278</v>
      </c>
      <c r="AB80" s="751">
        <v>161.506074</v>
      </c>
      <c r="AC80" s="166">
        <f t="shared" si="108"/>
        <v>523.037613</v>
      </c>
      <c r="AD80" s="251">
        <v>82.202205</v>
      </c>
      <c r="AE80" s="251">
        <v>117.468658</v>
      </c>
      <c r="AF80" s="251">
        <v>100.291458</v>
      </c>
      <c r="AG80" s="166">
        <f t="shared" si="109"/>
        <v>299.962321</v>
      </c>
      <c r="AH80" s="161">
        <v>98.030874</v>
      </c>
      <c r="AI80" s="161">
        <v>99.076167</v>
      </c>
      <c r="AJ80" s="146">
        <v>98.186861</v>
      </c>
      <c r="AK80" s="416">
        <f t="shared" si="111"/>
        <v>295.293902</v>
      </c>
      <c r="AL80" s="161">
        <f>Y80+AC80+AG80+AK80</f>
        <v>1252.9435469999999</v>
      </c>
      <c r="AM80" s="125"/>
      <c r="AN80" s="272">
        <f t="shared" si="82"/>
        <v>26.887422000000008</v>
      </c>
      <c r="AO80" s="332">
        <f t="shared" si="85"/>
        <v>56.10772698137697</v>
      </c>
      <c r="AP80" s="351">
        <f t="shared" si="86"/>
        <v>85.131583</v>
      </c>
      <c r="AQ80" s="507">
        <f t="shared" si="83"/>
        <v>59.70116</v>
      </c>
      <c r="AR80" s="373">
        <f t="shared" si="87"/>
        <v>160.44163860672177</v>
      </c>
      <c r="AS80" s="372">
        <f t="shared" si="84"/>
        <v>597.560586</v>
      </c>
      <c r="AT80" s="712">
        <f t="shared" si="88"/>
        <v>701.925848130887</v>
      </c>
      <c r="AU80" s="557">
        <f t="shared" si="89"/>
        <v>290.42297199999996</v>
      </c>
      <c r="AV80" s="742">
        <f t="shared" si="90"/>
        <v>43.28289700000002</v>
      </c>
      <c r="AW80" s="709">
        <f t="shared" si="91"/>
        <v>27.78583225525466</v>
      </c>
      <c r="AX80" s="742">
        <f t="shared" si="92"/>
        <v>392.26919699999996</v>
      </c>
      <c r="AY80" s="765">
        <f t="shared" si="93"/>
        <v>135.06824005643742</v>
      </c>
      <c r="AZ80" s="557">
        <f t="shared" si="94"/>
        <v>496.18125</v>
      </c>
      <c r="BA80" s="795">
        <f t="shared" si="95"/>
        <v>-84.98914299999998</v>
      </c>
      <c r="BB80" s="453">
        <f t="shared" si="96"/>
        <v>-41.30533353316652</v>
      </c>
      <c r="BC80" s="453">
        <f t="shared" si="97"/>
        <v>186.51091899999994</v>
      </c>
      <c r="BD80" s="765">
        <f t="shared" si="98"/>
        <v>37.58927186386023</v>
      </c>
      <c r="BE80" s="89">
        <f t="shared" si="99"/>
        <v>657.687324</v>
      </c>
      <c r="BF80" s="967">
        <f t="shared" si="100"/>
        <v>-68.30195800000001</v>
      </c>
      <c r="BG80" s="897">
        <f t="shared" si="101"/>
        <v>-42.290643508553124</v>
      </c>
      <c r="BH80" s="966">
        <f t="shared" si="102"/>
        <v>25.004844999999932</v>
      </c>
      <c r="BI80" s="373">
        <f t="shared" si="103"/>
        <v>3.8019350666396576</v>
      </c>
    </row>
    <row r="81" spans="1:61" ht="14.25" customHeight="1">
      <c r="A81" s="409"/>
      <c r="B81" s="379"/>
      <c r="C81" s="179" t="s">
        <v>71</v>
      </c>
      <c r="D81" s="654" t="s">
        <v>73</v>
      </c>
      <c r="E81" s="524">
        <v>5.107872</v>
      </c>
      <c r="F81" s="354">
        <v>3.92304</v>
      </c>
      <c r="G81" s="237">
        <v>1.2078</v>
      </c>
      <c r="H81" s="243">
        <f>E81+F81+G81</f>
        <v>10.238712000000001</v>
      </c>
      <c r="I81" s="283">
        <v>1.974588</v>
      </c>
      <c r="J81" s="127">
        <v>0.119064</v>
      </c>
      <c r="K81" s="751">
        <v>0.066528</v>
      </c>
      <c r="L81" s="148">
        <f>I81+J81+K81</f>
        <v>2.16018</v>
      </c>
      <c r="M81" s="251"/>
      <c r="N81" s="278"/>
      <c r="O81" s="251"/>
      <c r="P81" s="148">
        <f t="shared" si="106"/>
        <v>0</v>
      </c>
      <c r="Q81" s="161"/>
      <c r="R81" s="288"/>
      <c r="S81" s="161"/>
      <c r="T81" s="384">
        <f t="shared" si="110"/>
        <v>0</v>
      </c>
      <c r="U81" s="93">
        <f>H81+L81+P81+T81</f>
        <v>12.398892000000002</v>
      </c>
      <c r="V81" s="568">
        <v>10.905972</v>
      </c>
      <c r="W81" s="354">
        <v>9.141132</v>
      </c>
      <c r="X81" s="544">
        <v>8.094372</v>
      </c>
      <c r="Y81" s="812">
        <f t="shared" si="107"/>
        <v>28.141476</v>
      </c>
      <c r="Z81" s="836">
        <v>5.203836</v>
      </c>
      <c r="AA81" s="747">
        <v>0.761376</v>
      </c>
      <c r="AB81" s="751">
        <v>0.933636</v>
      </c>
      <c r="AC81" s="166">
        <f t="shared" si="108"/>
        <v>6.898848</v>
      </c>
      <c r="AD81" s="251">
        <v>7.39398</v>
      </c>
      <c r="AE81" s="251">
        <v>8.290788</v>
      </c>
      <c r="AF81" s="251">
        <v>6.9168</v>
      </c>
      <c r="AG81" s="166">
        <f t="shared" si="109"/>
        <v>22.601568</v>
      </c>
      <c r="AH81" s="161">
        <v>8.620128</v>
      </c>
      <c r="AI81" s="161">
        <v>11.229108</v>
      </c>
      <c r="AJ81" s="146">
        <v>5.597064</v>
      </c>
      <c r="AK81" s="416">
        <f t="shared" si="111"/>
        <v>25.446299999999997</v>
      </c>
      <c r="AL81" s="161">
        <f>Y81+AC81+AG81+AK81</f>
        <v>83.08819199999999</v>
      </c>
      <c r="AM81" s="125"/>
      <c r="AN81" s="272">
        <f t="shared" si="82"/>
        <v>-5.7981</v>
      </c>
      <c r="AO81" s="332">
        <f t="shared" si="85"/>
        <v>-53.16444971617385</v>
      </c>
      <c r="AP81" s="351">
        <f t="shared" si="86"/>
        <v>20.047104</v>
      </c>
      <c r="AQ81" s="507">
        <f t="shared" si="83"/>
        <v>-5.218092</v>
      </c>
      <c r="AR81" s="373">
        <f t="shared" si="87"/>
        <v>-57.083652221628576</v>
      </c>
      <c r="AS81" s="372">
        <f t="shared" si="84"/>
        <v>-7.648211999999999</v>
      </c>
      <c r="AT81" s="712">
        <f t="shared" si="88"/>
        <v>-38.15120627897176</v>
      </c>
      <c r="AU81" s="557">
        <f t="shared" si="89"/>
        <v>33.345312</v>
      </c>
      <c r="AV81" s="742">
        <f t="shared" si="90"/>
        <v>-3.229248</v>
      </c>
      <c r="AW81" s="709">
        <f t="shared" si="91"/>
        <v>-62.05514547345458</v>
      </c>
      <c r="AX81" s="742">
        <f t="shared" si="92"/>
        <v>-20.946419999999996</v>
      </c>
      <c r="AY81" s="765">
        <f t="shared" si="93"/>
        <v>-62.81668619564872</v>
      </c>
      <c r="AZ81" s="557">
        <f t="shared" si="94"/>
        <v>34.106688</v>
      </c>
      <c r="BA81" s="795">
        <f t="shared" si="95"/>
        <v>-0.642312</v>
      </c>
      <c r="BB81" s="453">
        <f t="shared" si="96"/>
        <v>-84.36199722607489</v>
      </c>
      <c r="BC81" s="453">
        <f t="shared" si="97"/>
        <v>-21.707795999999995</v>
      </c>
      <c r="BD81" s="765">
        <f t="shared" si="98"/>
        <v>-63.64674283237351</v>
      </c>
      <c r="BE81" s="89">
        <f t="shared" si="99"/>
        <v>35.040324</v>
      </c>
      <c r="BF81" s="967">
        <f t="shared" si="100"/>
        <v>-0.867108</v>
      </c>
      <c r="BG81" s="897">
        <f t="shared" si="101"/>
        <v>-92.87431075922522</v>
      </c>
      <c r="BH81" s="966">
        <f t="shared" si="102"/>
        <v>-22.641431999999995</v>
      </c>
      <c r="BI81" s="373">
        <f t="shared" si="103"/>
        <v>-64.61536143330181</v>
      </c>
    </row>
    <row r="82" spans="1:61" ht="12.75" customHeight="1">
      <c r="A82" s="409"/>
      <c r="B82" s="379"/>
      <c r="C82" s="179" t="s">
        <v>72</v>
      </c>
      <c r="D82" s="676" t="s">
        <v>11</v>
      </c>
      <c r="E82" s="623">
        <v>0</v>
      </c>
      <c r="F82" s="352">
        <v>0</v>
      </c>
      <c r="G82" s="112">
        <v>0</v>
      </c>
      <c r="H82" s="112">
        <v>0</v>
      </c>
      <c r="I82" s="113">
        <v>0</v>
      </c>
      <c r="J82" s="99">
        <v>0</v>
      </c>
      <c r="K82" s="535">
        <v>0</v>
      </c>
      <c r="L82" s="113">
        <v>0</v>
      </c>
      <c r="M82" s="112"/>
      <c r="N82" s="278"/>
      <c r="O82" s="251"/>
      <c r="P82" s="148">
        <f t="shared" si="106"/>
        <v>0</v>
      </c>
      <c r="Q82" s="251"/>
      <c r="R82" s="113"/>
      <c r="S82" s="112"/>
      <c r="T82" s="384">
        <f t="shared" si="110"/>
        <v>0</v>
      </c>
      <c r="U82" s="96">
        <f>H82+L82+P82+T82</f>
        <v>0</v>
      </c>
      <c r="V82" s="585">
        <v>0</v>
      </c>
      <c r="W82" s="352">
        <v>0</v>
      </c>
      <c r="X82" s="535">
        <v>0</v>
      </c>
      <c r="Y82" s="101">
        <v>0</v>
      </c>
      <c r="Z82" s="99">
        <v>0</v>
      </c>
      <c r="AA82" s="933">
        <v>0</v>
      </c>
      <c r="AB82" s="535">
        <v>0</v>
      </c>
      <c r="AC82" s="112">
        <v>0</v>
      </c>
      <c r="AD82" s="112">
        <v>0</v>
      </c>
      <c r="AE82" s="251">
        <v>23.201084</v>
      </c>
      <c r="AF82" s="251">
        <v>45.4162</v>
      </c>
      <c r="AG82" s="166">
        <f t="shared" si="109"/>
        <v>68.61728400000001</v>
      </c>
      <c r="AH82" s="251">
        <v>17.91495</v>
      </c>
      <c r="AI82" s="112">
        <v>0</v>
      </c>
      <c r="AJ82" s="99">
        <v>0</v>
      </c>
      <c r="AK82" s="416">
        <f t="shared" si="111"/>
        <v>17.91495</v>
      </c>
      <c r="AL82" s="161">
        <f>Y82+AC82+AG82+AK82</f>
        <v>86.53223400000002</v>
      </c>
      <c r="AM82" s="100">
        <v>0</v>
      </c>
      <c r="AN82" s="272">
        <f t="shared" si="82"/>
        <v>0</v>
      </c>
      <c r="AO82" s="335">
        <v>0</v>
      </c>
      <c r="AP82" s="359">
        <f t="shared" si="86"/>
        <v>0</v>
      </c>
      <c r="AQ82" s="507">
        <f t="shared" si="83"/>
        <v>0</v>
      </c>
      <c r="AR82" s="399">
        <v>0</v>
      </c>
      <c r="AS82" s="372">
        <f t="shared" si="84"/>
        <v>0</v>
      </c>
      <c r="AT82" s="714">
        <v>0</v>
      </c>
      <c r="AU82" s="760">
        <f t="shared" si="89"/>
        <v>0</v>
      </c>
      <c r="AV82" s="759">
        <f t="shared" si="90"/>
        <v>0</v>
      </c>
      <c r="AW82" s="760">
        <v>0</v>
      </c>
      <c r="AX82" s="759">
        <f t="shared" si="92"/>
        <v>0</v>
      </c>
      <c r="AY82" s="894">
        <v>0</v>
      </c>
      <c r="AZ82" s="557">
        <f t="shared" si="94"/>
        <v>0</v>
      </c>
      <c r="BA82" s="795">
        <f t="shared" si="95"/>
        <v>0</v>
      </c>
      <c r="BB82" s="453" t="e">
        <f t="shared" si="96"/>
        <v>#DIV/0!</v>
      </c>
      <c r="BC82" s="453">
        <f t="shared" si="97"/>
        <v>0</v>
      </c>
      <c r="BD82" s="765" t="e">
        <f t="shared" si="98"/>
        <v>#DIV/0!</v>
      </c>
      <c r="BE82" s="918">
        <f t="shared" si="99"/>
        <v>0</v>
      </c>
      <c r="BF82" s="973">
        <f t="shared" si="100"/>
        <v>0</v>
      </c>
      <c r="BG82" s="973">
        <v>0</v>
      </c>
      <c r="BH82" s="973">
        <f t="shared" si="102"/>
        <v>0</v>
      </c>
      <c r="BI82" s="399">
        <v>0</v>
      </c>
    </row>
    <row r="83" spans="1:61" s="66" customFormat="1" ht="18.75" customHeight="1">
      <c r="A83" s="592">
        <v>8</v>
      </c>
      <c r="B83" s="660" t="s">
        <v>109</v>
      </c>
      <c r="C83" s="323"/>
      <c r="D83" s="691"/>
      <c r="E83" s="527">
        <f>E84+E85+E87+E88+E89+E92+E86+E90+E93+E94</f>
        <v>576.595005</v>
      </c>
      <c r="F83" s="353">
        <f>F84+F85+F87+F88+F89+F92+F86+F90+F94</f>
        <v>512.420623</v>
      </c>
      <c r="G83" s="227">
        <f>G84+G85+G87+G88+G89+G92+G86+G90</f>
        <v>481.677573</v>
      </c>
      <c r="H83" s="813">
        <f>E83+F83+G83</f>
        <v>1570.693201</v>
      </c>
      <c r="I83" s="887">
        <f>I84+I85+I87+I88+I89+I92+I86+I90+I93+I94</f>
        <v>479.61326999999994</v>
      </c>
      <c r="J83" s="912">
        <f>J84+J85+J87+J88+J89+J92+J86+J90+J93+J94</f>
        <v>434.23971400000005</v>
      </c>
      <c r="K83" s="536">
        <f>K84+K85+K87+K88+K89+K92+K86+K90+K93+K94</f>
        <v>482.175036</v>
      </c>
      <c r="L83" s="152">
        <f>I83+J83+K83</f>
        <v>1396.02802</v>
      </c>
      <c r="M83" s="227">
        <f>M84+M85+M87+M88+M89+M92+M86+M90+M93+M94</f>
        <v>0</v>
      </c>
      <c r="N83" s="227">
        <f>N84+N85+N87+N88+N89+N92+N86+N90+N93+N94</f>
        <v>0</v>
      </c>
      <c r="O83" s="227">
        <f>O84+O85+O87+O88+O89+O92+O86+O90+O93+O94</f>
        <v>0</v>
      </c>
      <c r="P83" s="152">
        <f t="shared" si="106"/>
        <v>0</v>
      </c>
      <c r="Q83" s="227">
        <f>Q84+Q85+Q87+Q88+Q89+Q92+Q86+Q90+Q93+Q94</f>
        <v>0</v>
      </c>
      <c r="R83" s="227">
        <f>R84+R85+R87+R88+R89+R92+R86+R90+R93+R94</f>
        <v>0</v>
      </c>
      <c r="S83" s="227">
        <f>S84+S85+S87+S88+S89+S92+S86+S90+S93+S94</f>
        <v>0</v>
      </c>
      <c r="T83" s="129">
        <f t="shared" si="110"/>
        <v>0</v>
      </c>
      <c r="U83" s="173">
        <f>U84+U85+U87+U88+U89+U92+U86+U93+U90+U94-0.424587</f>
        <v>2966.432546</v>
      </c>
      <c r="V83" s="572">
        <f>V84+V85+V87+V88+V89+V92+V86+V90+V91</f>
        <v>588.235772</v>
      </c>
      <c r="W83" s="213">
        <f>W84+W85+W87+W88+W89+W92+W86+W90+W91</f>
        <v>530.066921</v>
      </c>
      <c r="X83" s="527">
        <f>X84+X85+X87+X88+X89+X92+X86+X90+X91</f>
        <v>541.961823</v>
      </c>
      <c r="Y83" s="813">
        <f t="shared" si="107"/>
        <v>1660.2645160000002</v>
      </c>
      <c r="Z83" s="130">
        <f>Z84+Z85+Z87+Z88+Z89+Z92+Z86+Z90+Z91</f>
        <v>486.72308300000003</v>
      </c>
      <c r="AA83" s="97">
        <f>AA84+AA85+AA87+AA88+AA89+AA92+AA86+AA90+AA91</f>
        <v>514.700979</v>
      </c>
      <c r="AB83" s="772">
        <f>AB84+AB85+AB87+AB88+AB89+AB92+AB86+AB90+AB91</f>
        <v>474.51871299999993</v>
      </c>
      <c r="AC83" s="159">
        <f t="shared" si="108"/>
        <v>1475.942775</v>
      </c>
      <c r="AD83" s="159">
        <f>AD84+AD85+AD87+AD88+AD89+AD92+AD86+AD90+AD91</f>
        <v>526.622213</v>
      </c>
      <c r="AE83" s="159">
        <f>AE84+AE85+AE87+AE88+AE89+AE92+AE86+AE93+AE90</f>
        <v>525.454249</v>
      </c>
      <c r="AF83" s="159">
        <f>AF84+AF85+AF87+AF88+AF89+AF92+AF86+AF90+AF93</f>
        <v>492.9909</v>
      </c>
      <c r="AG83" s="159">
        <f t="shared" si="109"/>
        <v>1545.067362</v>
      </c>
      <c r="AH83" s="159">
        <f>AH84+AH85+AH87+AH88+AH89+AH92+AH86+AH90+AH93</f>
        <v>482.57917100000003</v>
      </c>
      <c r="AI83" s="159">
        <f>AI84+AI85+AI87+AI88+AI89+AI92+AI86+AI90</f>
        <v>539.205546</v>
      </c>
      <c r="AJ83" s="130">
        <f>AJ84+AJ85+AJ87+AJ88+AJ89++AJ92+AJ86+AJ90</f>
        <v>611.4783730000001</v>
      </c>
      <c r="AK83" s="420">
        <f t="shared" si="111"/>
        <v>1633.2630900000001</v>
      </c>
      <c r="AL83" s="159">
        <f>AL84+AL85+AL87+AL88+AL89+AL92+AL86+AL93+AL90+AL91</f>
        <v>6314.537742999999</v>
      </c>
      <c r="AM83" s="155"/>
      <c r="AN83" s="271">
        <f t="shared" si="82"/>
        <v>-11.640766999999983</v>
      </c>
      <c r="AO83" s="334">
        <f t="shared" si="85"/>
        <v>-1.9789287823182633</v>
      </c>
      <c r="AP83" s="555">
        <f t="shared" si="86"/>
        <v>1118.302693</v>
      </c>
      <c r="AQ83" s="508">
        <f t="shared" si="83"/>
        <v>-17.646298</v>
      </c>
      <c r="AR83" s="375">
        <f t="shared" si="87"/>
        <v>-3.3290698402211802</v>
      </c>
      <c r="AS83" s="374">
        <f t="shared" si="84"/>
        <v>1848.129853</v>
      </c>
      <c r="AT83" s="825">
        <f t="shared" si="88"/>
        <v>165.26204082028443</v>
      </c>
      <c r="AU83" s="559">
        <f t="shared" si="89"/>
        <v>2146.987599</v>
      </c>
      <c r="AV83" s="801">
        <f t="shared" si="90"/>
        <v>-7.109813000000088</v>
      </c>
      <c r="AW83" s="797">
        <f t="shared" si="91"/>
        <v>-1.4607511433765552</v>
      </c>
      <c r="AX83" s="801">
        <f t="shared" si="92"/>
        <v>819.444947</v>
      </c>
      <c r="AY83" s="892">
        <f t="shared" si="93"/>
        <v>38.16719516133546</v>
      </c>
      <c r="AZ83" s="559">
        <f t="shared" si="94"/>
        <v>2661.6885780000002</v>
      </c>
      <c r="BA83" s="796">
        <f t="shared" si="95"/>
        <v>-80.46126499999991</v>
      </c>
      <c r="BB83" s="516">
        <f t="shared" si="96"/>
        <v>-15.632623267266013</v>
      </c>
      <c r="BC83" s="516">
        <f t="shared" si="97"/>
        <v>304.74396799999977</v>
      </c>
      <c r="BD83" s="892">
        <f t="shared" si="98"/>
        <v>11.449272109398507</v>
      </c>
      <c r="BE83" s="968">
        <f t="shared" si="99"/>
        <v>3136.207291</v>
      </c>
      <c r="BF83" s="969">
        <f t="shared" si="100"/>
        <v>7.656323000000043</v>
      </c>
      <c r="BG83" s="896">
        <f t="shared" si="101"/>
        <v>1.6134923218507566</v>
      </c>
      <c r="BH83" s="970">
        <f t="shared" si="102"/>
        <v>-169.77474500000017</v>
      </c>
      <c r="BI83" s="375">
        <f t="shared" si="103"/>
        <v>-5.413377664391135</v>
      </c>
    </row>
    <row r="84" spans="1:61" ht="17.25" customHeight="1">
      <c r="A84" s="409"/>
      <c r="B84" s="448" t="s">
        <v>74</v>
      </c>
      <c r="C84" s="176"/>
      <c r="D84" s="644" t="s">
        <v>14</v>
      </c>
      <c r="E84" s="524">
        <v>261.302569</v>
      </c>
      <c r="F84" s="354">
        <v>239.372554</v>
      </c>
      <c r="G84" s="226">
        <v>249.2491</v>
      </c>
      <c r="H84" s="166">
        <f>E84+F84+G84</f>
        <v>749.924223</v>
      </c>
      <c r="I84" s="278">
        <f>I41</f>
        <v>233.199711</v>
      </c>
      <c r="J84" s="127">
        <f>J41</f>
        <v>183.612392</v>
      </c>
      <c r="K84" s="751">
        <v>240.624447</v>
      </c>
      <c r="L84" s="148">
        <f>I84+J84+K84</f>
        <v>657.43655</v>
      </c>
      <c r="M84" s="251"/>
      <c r="N84" s="278"/>
      <c r="O84" s="249"/>
      <c r="P84" s="148">
        <f t="shared" si="106"/>
        <v>0</v>
      </c>
      <c r="Q84" s="161"/>
      <c r="R84" s="288"/>
      <c r="S84" s="161"/>
      <c r="T84" s="384">
        <f t="shared" si="110"/>
        <v>0</v>
      </c>
      <c r="U84" s="95">
        <f>H84+L84+P84+T84</f>
        <v>1407.3607729999999</v>
      </c>
      <c r="V84" s="568">
        <v>260.195982</v>
      </c>
      <c r="W84" s="354">
        <v>231.057679</v>
      </c>
      <c r="X84" s="526">
        <v>250.615215</v>
      </c>
      <c r="Y84" s="384">
        <f t="shared" si="107"/>
        <v>741.868876</v>
      </c>
      <c r="Z84" s="127">
        <v>231.493738</v>
      </c>
      <c r="AA84" s="747">
        <v>194.220101</v>
      </c>
      <c r="AB84" s="751">
        <v>234.16867</v>
      </c>
      <c r="AC84" s="166">
        <f t="shared" si="108"/>
        <v>659.882509</v>
      </c>
      <c r="AD84" s="251">
        <v>226.975811</v>
      </c>
      <c r="AE84" s="251">
        <v>238.428194</v>
      </c>
      <c r="AF84" s="249">
        <v>132.269575</v>
      </c>
      <c r="AG84" s="166">
        <f t="shared" si="109"/>
        <v>597.67358</v>
      </c>
      <c r="AH84" s="161">
        <v>55.392406</v>
      </c>
      <c r="AI84" s="161">
        <v>253.025341</v>
      </c>
      <c r="AJ84" s="146">
        <v>263.255357</v>
      </c>
      <c r="AK84" s="416">
        <f t="shared" si="111"/>
        <v>571.673104</v>
      </c>
      <c r="AL84" s="162">
        <f aca="true" t="shared" si="112" ref="AL84:AL100">Y84+AC84+AG84+AK84</f>
        <v>2571.098069</v>
      </c>
      <c r="AM84" s="137"/>
      <c r="AN84" s="272">
        <f t="shared" si="82"/>
        <v>1.1065869999999904</v>
      </c>
      <c r="AO84" s="332">
        <f t="shared" si="85"/>
        <v>0.42528981097025564</v>
      </c>
      <c r="AP84" s="351">
        <f t="shared" si="86"/>
        <v>491.253661</v>
      </c>
      <c r="AQ84" s="507">
        <f t="shared" si="83"/>
        <v>8.314875</v>
      </c>
      <c r="AR84" s="373">
        <f t="shared" si="87"/>
        <v>3.598614439470765</v>
      </c>
      <c r="AS84" s="372">
        <f t="shared" si="84"/>
        <v>916.1071119999999</v>
      </c>
      <c r="AT84" s="712">
        <f t="shared" si="88"/>
        <v>186.4835185421651</v>
      </c>
      <c r="AU84" s="557">
        <f t="shared" si="89"/>
        <v>973.362614</v>
      </c>
      <c r="AV84" s="742">
        <f t="shared" si="90"/>
        <v>1.7059730000000002</v>
      </c>
      <c r="AW84" s="709">
        <f t="shared" si="91"/>
        <v>0.7369413163132776</v>
      </c>
      <c r="AX84" s="742">
        <f t="shared" si="92"/>
        <v>433.9981589999999</v>
      </c>
      <c r="AY84" s="765">
        <f t="shared" si="93"/>
        <v>44.58751063146954</v>
      </c>
      <c r="AZ84" s="557">
        <f t="shared" si="94"/>
        <v>1167.582715</v>
      </c>
      <c r="BA84" s="795">
        <f t="shared" si="95"/>
        <v>-10.607709</v>
      </c>
      <c r="BB84" s="453">
        <f t="shared" si="96"/>
        <v>-5.461694719229911</v>
      </c>
      <c r="BC84" s="453">
        <f t="shared" si="97"/>
        <v>239.77805799999987</v>
      </c>
      <c r="BD84" s="765">
        <f t="shared" si="98"/>
        <v>20.536280206923067</v>
      </c>
      <c r="BE84" s="89">
        <f t="shared" si="99"/>
        <v>1401.751385</v>
      </c>
      <c r="BF84" s="967">
        <f t="shared" si="100"/>
        <v>6.455777000000012</v>
      </c>
      <c r="BG84" s="897">
        <f t="shared" si="101"/>
        <v>2.7568918591884994</v>
      </c>
      <c r="BH84" s="966">
        <f t="shared" si="102"/>
        <v>5.6093879999998535</v>
      </c>
      <c r="BI84" s="373">
        <f t="shared" si="103"/>
        <v>0.40016996309226727</v>
      </c>
    </row>
    <row r="85" spans="1:61" ht="14.25" customHeight="1">
      <c r="A85" s="409"/>
      <c r="B85" s="448" t="s">
        <v>75</v>
      </c>
      <c r="C85" s="176"/>
      <c r="D85" s="640" t="s">
        <v>15</v>
      </c>
      <c r="E85" s="524">
        <v>77.266992</v>
      </c>
      <c r="F85" s="354">
        <v>67.455432</v>
      </c>
      <c r="G85" s="231">
        <v>0</v>
      </c>
      <c r="H85" s="166">
        <f>E85+F85+G85</f>
        <v>144.722424</v>
      </c>
      <c r="I85" s="113">
        <f>I42</f>
        <v>0</v>
      </c>
      <c r="J85" s="99">
        <f>J42</f>
        <v>0</v>
      </c>
      <c r="K85" s="535">
        <v>0</v>
      </c>
      <c r="L85" s="148">
        <f>I85+J85+K85</f>
        <v>0</v>
      </c>
      <c r="M85" s="251"/>
      <c r="N85" s="278"/>
      <c r="O85" s="250"/>
      <c r="P85" s="148">
        <f t="shared" si="106"/>
        <v>0</v>
      </c>
      <c r="Q85" s="161"/>
      <c r="R85" s="288"/>
      <c r="S85" s="161"/>
      <c r="T85" s="384">
        <f t="shared" si="110"/>
        <v>0</v>
      </c>
      <c r="U85" s="95">
        <f>H85+L85+P85+T85</f>
        <v>144.722424</v>
      </c>
      <c r="V85" s="568">
        <v>75.915048</v>
      </c>
      <c r="W85" s="354">
        <v>66.165528</v>
      </c>
      <c r="X85" s="526">
        <v>35.96868</v>
      </c>
      <c r="Y85" s="384">
        <f t="shared" si="107"/>
        <v>178.049256</v>
      </c>
      <c r="Z85" s="99">
        <v>0</v>
      </c>
      <c r="AA85" s="747">
        <v>12.333829</v>
      </c>
      <c r="AB85" s="535">
        <v>0</v>
      </c>
      <c r="AC85" s="166">
        <f t="shared" si="108"/>
        <v>12.333829</v>
      </c>
      <c r="AD85" s="251">
        <v>12.333288</v>
      </c>
      <c r="AE85" s="251">
        <v>40.266864</v>
      </c>
      <c r="AF85" s="250">
        <v>58.905792</v>
      </c>
      <c r="AG85" s="166">
        <f t="shared" si="109"/>
        <v>111.505944</v>
      </c>
      <c r="AH85" s="161">
        <v>81.714864</v>
      </c>
      <c r="AI85" s="161">
        <v>63.041616</v>
      </c>
      <c r="AJ85" s="146">
        <v>61.209192</v>
      </c>
      <c r="AK85" s="416">
        <f t="shared" si="111"/>
        <v>205.965672</v>
      </c>
      <c r="AL85" s="162">
        <f t="shared" si="112"/>
        <v>507.8547010000001</v>
      </c>
      <c r="AM85" s="137"/>
      <c r="AN85" s="272">
        <f t="shared" si="82"/>
        <v>1.3519440000000031</v>
      </c>
      <c r="AO85" s="332">
        <f t="shared" si="85"/>
        <v>1.7808643155965598</v>
      </c>
      <c r="AP85" s="351">
        <f t="shared" si="86"/>
        <v>142.080576</v>
      </c>
      <c r="AQ85" s="507">
        <f t="shared" si="83"/>
        <v>1.289904000000007</v>
      </c>
      <c r="AR85" s="373">
        <f t="shared" si="87"/>
        <v>1.9495106273466263</v>
      </c>
      <c r="AS85" s="372">
        <f t="shared" si="84"/>
        <v>2.6418479999999818</v>
      </c>
      <c r="AT85" s="712">
        <f t="shared" si="88"/>
        <v>1.859401245670611</v>
      </c>
      <c r="AU85" s="557">
        <f t="shared" si="89"/>
        <v>178.049256</v>
      </c>
      <c r="AV85" s="759">
        <f t="shared" si="90"/>
        <v>0</v>
      </c>
      <c r="AW85" s="760">
        <v>0</v>
      </c>
      <c r="AX85" s="742">
        <f t="shared" si="92"/>
        <v>-33.326832000000024</v>
      </c>
      <c r="AY85" s="765">
        <f t="shared" si="93"/>
        <v>-18.717759764185715</v>
      </c>
      <c r="AZ85" s="557">
        <f t="shared" si="94"/>
        <v>190.38308500000002</v>
      </c>
      <c r="BA85" s="795">
        <f t="shared" si="95"/>
        <v>-12.333829</v>
      </c>
      <c r="BB85" s="453">
        <f t="shared" si="96"/>
        <v>-100</v>
      </c>
      <c r="BC85" s="453">
        <f t="shared" si="97"/>
        <v>-45.66066100000003</v>
      </c>
      <c r="BD85" s="765">
        <f t="shared" si="98"/>
        <v>-23.983570284093275</v>
      </c>
      <c r="BE85" s="89">
        <f t="shared" si="99"/>
        <v>190.38308500000002</v>
      </c>
      <c r="BF85" s="974">
        <f t="shared" si="100"/>
        <v>0</v>
      </c>
      <c r="BG85" s="974">
        <v>0</v>
      </c>
      <c r="BH85" s="966">
        <f t="shared" si="102"/>
        <v>-45.66066100000003</v>
      </c>
      <c r="BI85" s="373">
        <f t="shared" si="103"/>
        <v>-23.983570284093275</v>
      </c>
    </row>
    <row r="86" spans="1:61" ht="17.25" customHeight="1">
      <c r="A86" s="409"/>
      <c r="B86" s="448" t="s">
        <v>76</v>
      </c>
      <c r="C86" s="176"/>
      <c r="D86" s="692" t="s">
        <v>110</v>
      </c>
      <c r="E86" s="624">
        <v>0</v>
      </c>
      <c r="F86" s="218">
        <v>0</v>
      </c>
      <c r="G86" s="231">
        <v>0</v>
      </c>
      <c r="H86" s="240">
        <f>E86+F86+G86</f>
        <v>0</v>
      </c>
      <c r="I86" s="113">
        <f>I44</f>
        <v>0</v>
      </c>
      <c r="J86" s="99">
        <f>J44</f>
        <v>0</v>
      </c>
      <c r="K86" s="535">
        <v>0</v>
      </c>
      <c r="L86" s="151">
        <f>I86+J86+K86</f>
        <v>0</v>
      </c>
      <c r="M86" s="112"/>
      <c r="N86" s="280"/>
      <c r="O86" s="250"/>
      <c r="P86" s="148">
        <f t="shared" si="106"/>
        <v>0</v>
      </c>
      <c r="Q86" s="161"/>
      <c r="R86" s="145"/>
      <c r="S86" s="163"/>
      <c r="T86" s="384">
        <f t="shared" si="110"/>
        <v>0</v>
      </c>
      <c r="U86" s="111">
        <f>H86+L86+P86+T86</f>
        <v>0</v>
      </c>
      <c r="V86" s="586">
        <v>0</v>
      </c>
      <c r="W86" s="218">
        <v>0</v>
      </c>
      <c r="X86" s="534">
        <v>0</v>
      </c>
      <c r="Y86" s="385">
        <f t="shared" si="107"/>
        <v>0</v>
      </c>
      <c r="Z86" s="99">
        <v>0</v>
      </c>
      <c r="AA86" s="933">
        <v>0</v>
      </c>
      <c r="AB86" s="535">
        <v>0</v>
      </c>
      <c r="AC86" s="240">
        <f t="shared" si="108"/>
        <v>0</v>
      </c>
      <c r="AD86" s="112">
        <v>0</v>
      </c>
      <c r="AE86" s="207">
        <v>7.552448</v>
      </c>
      <c r="AF86" s="250">
        <v>143.250925</v>
      </c>
      <c r="AG86" s="166">
        <f t="shared" si="109"/>
        <v>150.803373</v>
      </c>
      <c r="AH86" s="161">
        <v>64.348905</v>
      </c>
      <c r="AI86" s="163">
        <v>0</v>
      </c>
      <c r="AJ86" s="144">
        <v>0</v>
      </c>
      <c r="AK86" s="416">
        <f t="shared" si="111"/>
        <v>64.348905</v>
      </c>
      <c r="AL86" s="162">
        <f t="shared" si="112"/>
        <v>215.152278</v>
      </c>
      <c r="AM86" s="205"/>
      <c r="AN86" s="272">
        <f t="shared" si="82"/>
        <v>0</v>
      </c>
      <c r="AO86" s="333">
        <v>0</v>
      </c>
      <c r="AP86" s="359">
        <f t="shared" si="86"/>
        <v>0</v>
      </c>
      <c r="AQ86" s="552">
        <f t="shared" si="83"/>
        <v>0</v>
      </c>
      <c r="AR86" s="464">
        <v>0</v>
      </c>
      <c r="AS86" s="398">
        <f t="shared" si="84"/>
        <v>0</v>
      </c>
      <c r="AT86" s="714">
        <v>0</v>
      </c>
      <c r="AU86" s="557">
        <f t="shared" si="89"/>
        <v>0</v>
      </c>
      <c r="AV86" s="759">
        <f t="shared" si="90"/>
        <v>0</v>
      </c>
      <c r="AW86" s="760">
        <v>0</v>
      </c>
      <c r="AX86" s="759">
        <f t="shared" si="92"/>
        <v>0</v>
      </c>
      <c r="AY86" s="894">
        <v>0</v>
      </c>
      <c r="AZ86" s="557">
        <f t="shared" si="94"/>
        <v>0</v>
      </c>
      <c r="BA86" s="795">
        <f t="shared" si="95"/>
        <v>0</v>
      </c>
      <c r="BB86" s="453" t="e">
        <f t="shared" si="96"/>
        <v>#DIV/0!</v>
      </c>
      <c r="BC86" s="453">
        <f t="shared" si="97"/>
        <v>0</v>
      </c>
      <c r="BD86" s="765" t="e">
        <f t="shared" si="98"/>
        <v>#DIV/0!</v>
      </c>
      <c r="BE86" s="918">
        <f t="shared" si="99"/>
        <v>0</v>
      </c>
      <c r="BF86" s="973">
        <f t="shared" si="100"/>
        <v>0</v>
      </c>
      <c r="BG86" s="973">
        <v>0</v>
      </c>
      <c r="BH86" s="973">
        <f t="shared" si="102"/>
        <v>0</v>
      </c>
      <c r="BI86" s="399">
        <v>0</v>
      </c>
    </row>
    <row r="87" spans="1:61" ht="18.75" customHeight="1" hidden="1">
      <c r="A87" s="409"/>
      <c r="B87" s="448" t="s">
        <v>77</v>
      </c>
      <c r="C87" s="199"/>
      <c r="D87" s="640" t="s">
        <v>16</v>
      </c>
      <c r="E87" s="613"/>
      <c r="F87" s="352"/>
      <c r="G87" s="112"/>
      <c r="H87" s="112">
        <v>0</v>
      </c>
      <c r="I87" s="113"/>
      <c r="J87" s="99"/>
      <c r="K87" s="535"/>
      <c r="L87" s="113">
        <v>0</v>
      </c>
      <c r="M87" s="112"/>
      <c r="N87" s="113"/>
      <c r="O87" s="112"/>
      <c r="P87" s="113">
        <v>0</v>
      </c>
      <c r="Q87" s="112"/>
      <c r="R87" s="113"/>
      <c r="S87" s="112"/>
      <c r="T87" s="101">
        <v>0</v>
      </c>
      <c r="U87" s="98">
        <v>0</v>
      </c>
      <c r="V87" s="576">
        <v>0</v>
      </c>
      <c r="W87" s="352">
        <v>0</v>
      </c>
      <c r="X87" s="535">
        <v>0</v>
      </c>
      <c r="Y87" s="101">
        <v>0</v>
      </c>
      <c r="Z87" s="99">
        <v>0</v>
      </c>
      <c r="AA87" s="933">
        <v>0</v>
      </c>
      <c r="AB87" s="535">
        <v>0</v>
      </c>
      <c r="AC87" s="112">
        <v>0</v>
      </c>
      <c r="AD87" s="112">
        <v>0</v>
      </c>
      <c r="AE87" s="112">
        <v>0</v>
      </c>
      <c r="AF87" s="112">
        <v>0</v>
      </c>
      <c r="AG87" s="112">
        <v>0</v>
      </c>
      <c r="AH87" s="112">
        <v>0</v>
      </c>
      <c r="AI87" s="112">
        <v>0</v>
      </c>
      <c r="AJ87" s="99">
        <v>0</v>
      </c>
      <c r="AK87" s="423">
        <v>0</v>
      </c>
      <c r="AL87" s="112">
        <v>0</v>
      </c>
      <c r="AM87" s="100">
        <v>0</v>
      </c>
      <c r="AN87" s="272">
        <f t="shared" si="82"/>
        <v>0</v>
      </c>
      <c r="AO87" s="332" t="e">
        <f t="shared" si="85"/>
        <v>#DIV/0!</v>
      </c>
      <c r="AP87" s="351">
        <f t="shared" si="86"/>
        <v>0</v>
      </c>
      <c r="AQ87" s="507">
        <f t="shared" si="83"/>
        <v>0</v>
      </c>
      <c r="AR87" s="373" t="e">
        <f t="shared" si="87"/>
        <v>#DIV/0!</v>
      </c>
      <c r="AS87" s="372">
        <f t="shared" si="84"/>
        <v>0</v>
      </c>
      <c r="AT87" s="712" t="e">
        <f t="shared" si="88"/>
        <v>#DIV/0!</v>
      </c>
      <c r="AU87" s="557">
        <f t="shared" si="89"/>
        <v>0</v>
      </c>
      <c r="AV87" s="759">
        <f t="shared" si="90"/>
        <v>0</v>
      </c>
      <c r="AW87" s="760" t="e">
        <f t="shared" si="91"/>
        <v>#DIV/0!</v>
      </c>
      <c r="AX87" s="742">
        <f t="shared" si="92"/>
        <v>0</v>
      </c>
      <c r="AY87" s="765" t="e">
        <f t="shared" si="93"/>
        <v>#DIV/0!</v>
      </c>
      <c r="AZ87" s="557">
        <f t="shared" si="94"/>
        <v>0</v>
      </c>
      <c r="BA87" s="795">
        <f t="shared" si="95"/>
        <v>0</v>
      </c>
      <c r="BB87" s="453" t="e">
        <f t="shared" si="96"/>
        <v>#DIV/0!</v>
      </c>
      <c r="BC87" s="453">
        <f t="shared" si="97"/>
        <v>0</v>
      </c>
      <c r="BD87" s="765" t="e">
        <f t="shared" si="98"/>
        <v>#DIV/0!</v>
      </c>
      <c r="BE87" s="89">
        <f t="shared" si="99"/>
        <v>0</v>
      </c>
      <c r="BF87" s="967">
        <f t="shared" si="100"/>
        <v>0</v>
      </c>
      <c r="BG87" s="897" t="e">
        <f t="shared" si="101"/>
        <v>#DIV/0!</v>
      </c>
      <c r="BH87" s="966">
        <f t="shared" si="102"/>
        <v>0</v>
      </c>
      <c r="BI87" s="373" t="e">
        <f t="shared" si="103"/>
        <v>#DIV/0!</v>
      </c>
    </row>
    <row r="88" spans="1:61" ht="13.5" customHeight="1">
      <c r="A88" s="409"/>
      <c r="B88" s="448" t="s">
        <v>77</v>
      </c>
      <c r="C88" s="199"/>
      <c r="D88" s="645" t="s">
        <v>17</v>
      </c>
      <c r="E88" s="524">
        <v>80.986103</v>
      </c>
      <c r="F88" s="354">
        <v>44.02076</v>
      </c>
      <c r="G88" s="226">
        <v>51.672641</v>
      </c>
      <c r="H88" s="166">
        <f aca="true" t="shared" si="113" ref="H88:H94">E88+F88+G88</f>
        <v>176.679504</v>
      </c>
      <c r="I88" s="113">
        <v>0</v>
      </c>
      <c r="J88" s="99">
        <v>0</v>
      </c>
      <c r="K88" s="535">
        <v>0</v>
      </c>
      <c r="L88" s="151">
        <f aca="true" t="shared" si="114" ref="L88:L98">I88+J88+K88</f>
        <v>0</v>
      </c>
      <c r="M88" s="251"/>
      <c r="N88" s="280"/>
      <c r="O88" s="207"/>
      <c r="P88" s="148">
        <f aca="true" t="shared" si="115" ref="P88:P98">M88+N88+O88</f>
        <v>0</v>
      </c>
      <c r="Q88" s="161"/>
      <c r="R88" s="288"/>
      <c r="S88" s="162"/>
      <c r="T88" s="384">
        <f aca="true" t="shared" si="116" ref="T88:T98">Q88+R88+S88</f>
        <v>0</v>
      </c>
      <c r="U88" s="95">
        <f aca="true" t="shared" si="117" ref="U88:U97">H88+L88+P88+T88</f>
        <v>176.679504</v>
      </c>
      <c r="V88" s="568">
        <v>125.689735</v>
      </c>
      <c r="W88" s="354">
        <v>116.011357</v>
      </c>
      <c r="X88" s="526">
        <v>116.744546</v>
      </c>
      <c r="Y88" s="384">
        <f t="shared" si="107"/>
        <v>358.44563800000003</v>
      </c>
      <c r="Z88" s="99">
        <v>0</v>
      </c>
      <c r="AA88" s="933">
        <v>0</v>
      </c>
      <c r="AB88" s="535">
        <v>0</v>
      </c>
      <c r="AC88" s="240">
        <f t="shared" si="108"/>
        <v>0</v>
      </c>
      <c r="AD88" s="251">
        <v>78.749086</v>
      </c>
      <c r="AE88" s="207">
        <v>48.53271</v>
      </c>
      <c r="AF88" s="207">
        <v>4.603939</v>
      </c>
      <c r="AG88" s="166">
        <f t="shared" si="109"/>
        <v>131.885735</v>
      </c>
      <c r="AH88" s="161">
        <v>128.893351</v>
      </c>
      <c r="AI88" s="161">
        <v>71.443786</v>
      </c>
      <c r="AJ88" s="269">
        <v>132.431178</v>
      </c>
      <c r="AK88" s="416">
        <f t="shared" si="111"/>
        <v>332.768315</v>
      </c>
      <c r="AL88" s="162">
        <f t="shared" si="112"/>
        <v>823.099688</v>
      </c>
      <c r="AM88" s="137"/>
      <c r="AN88" s="272">
        <f t="shared" si="82"/>
        <v>-44.703632</v>
      </c>
      <c r="AO88" s="332">
        <f t="shared" si="85"/>
        <v>-35.56665307632322</v>
      </c>
      <c r="AP88" s="351">
        <f t="shared" si="86"/>
        <v>241.70109200000002</v>
      </c>
      <c r="AQ88" s="507">
        <f t="shared" si="83"/>
        <v>-71.99059700000001</v>
      </c>
      <c r="AR88" s="373">
        <f t="shared" si="87"/>
        <v>-62.05478399843215</v>
      </c>
      <c r="AS88" s="372">
        <f t="shared" si="84"/>
        <v>-65.02158800000001</v>
      </c>
      <c r="AT88" s="712">
        <f t="shared" si="88"/>
        <v>-26.901652558524646</v>
      </c>
      <c r="AU88" s="557">
        <f t="shared" si="89"/>
        <v>358.44563800000003</v>
      </c>
      <c r="AV88" s="759">
        <f t="shared" si="90"/>
        <v>0</v>
      </c>
      <c r="AW88" s="760">
        <v>0</v>
      </c>
      <c r="AX88" s="742">
        <f t="shared" si="92"/>
        <v>-181.76613400000002</v>
      </c>
      <c r="AY88" s="765">
        <f t="shared" si="93"/>
        <v>-50.70953994982079</v>
      </c>
      <c r="AZ88" s="557">
        <f t="shared" si="94"/>
        <v>358.44563800000003</v>
      </c>
      <c r="BA88" s="795">
        <f t="shared" si="95"/>
        <v>0</v>
      </c>
      <c r="BB88" s="453" t="e">
        <f t="shared" si="96"/>
        <v>#DIV/0!</v>
      </c>
      <c r="BC88" s="453">
        <f t="shared" si="97"/>
        <v>-181.76613400000002</v>
      </c>
      <c r="BD88" s="765">
        <f t="shared" si="98"/>
        <v>-50.70953994982079</v>
      </c>
      <c r="BE88" s="89">
        <f t="shared" si="99"/>
        <v>358.44563800000003</v>
      </c>
      <c r="BF88" s="967">
        <f t="shared" si="100"/>
        <v>0</v>
      </c>
      <c r="BG88" s="897" t="e">
        <f t="shared" si="101"/>
        <v>#DIV/0!</v>
      </c>
      <c r="BH88" s="966">
        <f t="shared" si="102"/>
        <v>-181.76613400000002</v>
      </c>
      <c r="BI88" s="373">
        <f t="shared" si="103"/>
        <v>-50.70953994982079</v>
      </c>
    </row>
    <row r="89" spans="1:61" ht="13.5" customHeight="1">
      <c r="A89" s="409"/>
      <c r="B89" s="448" t="s">
        <v>78</v>
      </c>
      <c r="C89" s="199"/>
      <c r="D89" s="640" t="s">
        <v>3</v>
      </c>
      <c r="E89" s="524">
        <v>16.37183</v>
      </c>
      <c r="F89" s="354">
        <v>23.23622</v>
      </c>
      <c r="G89" s="226">
        <v>31.078965</v>
      </c>
      <c r="H89" s="166">
        <f t="shared" si="113"/>
        <v>70.687015</v>
      </c>
      <c r="I89" s="278">
        <f>I47</f>
        <v>49.637494</v>
      </c>
      <c r="J89" s="127">
        <f>J47</f>
        <v>43.961316</v>
      </c>
      <c r="K89" s="751">
        <v>47.180354</v>
      </c>
      <c r="L89" s="148">
        <f t="shared" si="114"/>
        <v>140.77916399999998</v>
      </c>
      <c r="M89" s="251"/>
      <c r="N89" s="278"/>
      <c r="O89" s="207"/>
      <c r="P89" s="148">
        <f t="shared" si="115"/>
        <v>0</v>
      </c>
      <c r="Q89" s="161"/>
      <c r="R89" s="288"/>
      <c r="S89" s="161"/>
      <c r="T89" s="384">
        <f t="shared" si="116"/>
        <v>0</v>
      </c>
      <c r="U89" s="95">
        <f t="shared" si="117"/>
        <v>211.46617899999998</v>
      </c>
      <c r="V89" s="568">
        <v>17.859284</v>
      </c>
      <c r="W89" s="354">
        <v>14.610188</v>
      </c>
      <c r="X89" s="526">
        <v>21.57992</v>
      </c>
      <c r="Y89" s="384">
        <f t="shared" si="107"/>
        <v>54.049392</v>
      </c>
      <c r="Z89" s="127">
        <v>49.074684</v>
      </c>
      <c r="AA89" s="747">
        <v>72.248567</v>
      </c>
      <c r="AB89" s="751">
        <v>79.76125</v>
      </c>
      <c r="AC89" s="166">
        <f t="shared" si="108"/>
        <v>201.084501</v>
      </c>
      <c r="AD89" s="251">
        <v>72.130481</v>
      </c>
      <c r="AE89" s="251">
        <v>69.661429</v>
      </c>
      <c r="AF89" s="207">
        <v>16.504357</v>
      </c>
      <c r="AG89" s="166">
        <f t="shared" si="109"/>
        <v>158.296267</v>
      </c>
      <c r="AH89" s="161">
        <v>5.684877</v>
      </c>
      <c r="AI89" s="161">
        <v>9.889553</v>
      </c>
      <c r="AJ89" s="146">
        <v>15.306504</v>
      </c>
      <c r="AK89" s="416">
        <f t="shared" si="111"/>
        <v>30.880934</v>
      </c>
      <c r="AL89" s="162">
        <f t="shared" si="112"/>
        <v>444.311094</v>
      </c>
      <c r="AM89" s="137"/>
      <c r="AN89" s="272">
        <f t="shared" si="82"/>
        <v>-1.4874539999999996</v>
      </c>
      <c r="AO89" s="332">
        <f t="shared" si="85"/>
        <v>-8.328743750309371</v>
      </c>
      <c r="AP89" s="351">
        <f t="shared" si="86"/>
        <v>32.469471999999996</v>
      </c>
      <c r="AQ89" s="507">
        <f t="shared" si="83"/>
        <v>8.626031999999999</v>
      </c>
      <c r="AR89" s="373">
        <f t="shared" si="87"/>
        <v>59.04121151623784</v>
      </c>
      <c r="AS89" s="372">
        <f t="shared" si="84"/>
        <v>178.996707</v>
      </c>
      <c r="AT89" s="712">
        <f t="shared" si="88"/>
        <v>551.2769255995292</v>
      </c>
      <c r="AU89" s="557">
        <f t="shared" si="89"/>
        <v>103.124076</v>
      </c>
      <c r="AV89" s="742">
        <f t="shared" si="90"/>
        <v>0.5628099999999989</v>
      </c>
      <c r="AW89" s="709">
        <f t="shared" si="91"/>
        <v>1.146843859453071</v>
      </c>
      <c r="AX89" s="742">
        <f t="shared" si="92"/>
        <v>108.34210299999998</v>
      </c>
      <c r="AY89" s="765">
        <f t="shared" si="93"/>
        <v>105.0599503068517</v>
      </c>
      <c r="AZ89" s="557">
        <f t="shared" si="94"/>
        <v>175.37264299999998</v>
      </c>
      <c r="BA89" s="795">
        <f t="shared" si="95"/>
        <v>-28.287250999999998</v>
      </c>
      <c r="BB89" s="453">
        <f t="shared" si="96"/>
        <v>-39.15268104902344</v>
      </c>
      <c r="BC89" s="453">
        <f t="shared" si="97"/>
        <v>36.093536</v>
      </c>
      <c r="BD89" s="765">
        <f t="shared" si="98"/>
        <v>20.581052655972115</v>
      </c>
      <c r="BE89" s="89">
        <f t="shared" si="99"/>
        <v>255.133893</v>
      </c>
      <c r="BF89" s="967">
        <f t="shared" si="100"/>
        <v>-32.580896</v>
      </c>
      <c r="BG89" s="897">
        <f t="shared" si="101"/>
        <v>-40.848025827077684</v>
      </c>
      <c r="BH89" s="966">
        <f t="shared" si="102"/>
        <v>-43.66771400000002</v>
      </c>
      <c r="BI89" s="373">
        <f t="shared" si="103"/>
        <v>-17.115606823747257</v>
      </c>
    </row>
    <row r="90" spans="1:61" ht="18" customHeight="1">
      <c r="A90" s="409"/>
      <c r="B90" s="448" t="s">
        <v>79</v>
      </c>
      <c r="C90" s="199"/>
      <c r="D90" s="641" t="s">
        <v>149</v>
      </c>
      <c r="E90" s="524">
        <v>95.177651</v>
      </c>
      <c r="F90" s="354">
        <v>73.849676</v>
      </c>
      <c r="G90" s="226">
        <v>65.296514</v>
      </c>
      <c r="H90" s="240">
        <f t="shared" si="113"/>
        <v>234.32384100000002</v>
      </c>
      <c r="I90" s="278">
        <f>I49</f>
        <v>77.213239</v>
      </c>
      <c r="J90" s="127">
        <f>J49</f>
        <v>57.195234</v>
      </c>
      <c r="K90" s="751">
        <v>59.420239</v>
      </c>
      <c r="L90" s="151">
        <f t="shared" si="114"/>
        <v>193.82871200000002</v>
      </c>
      <c r="M90" s="251"/>
      <c r="N90" s="278"/>
      <c r="O90" s="207"/>
      <c r="P90" s="148">
        <f t="shared" si="115"/>
        <v>0</v>
      </c>
      <c r="Q90" s="161"/>
      <c r="R90" s="288"/>
      <c r="S90" s="161"/>
      <c r="T90" s="384">
        <f t="shared" si="116"/>
        <v>0</v>
      </c>
      <c r="U90" s="95">
        <f t="shared" si="117"/>
        <v>428.152553</v>
      </c>
      <c r="V90" s="568">
        <v>65.377124</v>
      </c>
      <c r="W90" s="354">
        <v>64.552851</v>
      </c>
      <c r="X90" s="526">
        <v>57.018237</v>
      </c>
      <c r="Y90" s="116">
        <f t="shared" si="107"/>
        <v>186.948212</v>
      </c>
      <c r="Z90" s="127">
        <v>92.014671</v>
      </c>
      <c r="AA90" s="747">
        <v>81.736132</v>
      </c>
      <c r="AB90" s="751">
        <v>45.77374</v>
      </c>
      <c r="AC90" s="166">
        <f t="shared" si="108"/>
        <v>219.52454300000002</v>
      </c>
      <c r="AD90" s="251">
        <v>69.993859</v>
      </c>
      <c r="AE90" s="251">
        <v>73.554831</v>
      </c>
      <c r="AF90" s="207">
        <v>94.734276</v>
      </c>
      <c r="AG90" s="249">
        <f t="shared" si="109"/>
        <v>238.282966</v>
      </c>
      <c r="AH90" s="251">
        <v>88.749465</v>
      </c>
      <c r="AI90" s="251">
        <v>83.599411</v>
      </c>
      <c r="AJ90" s="127">
        <v>92.461883</v>
      </c>
      <c r="AK90" s="421">
        <f t="shared" si="111"/>
        <v>264.810759</v>
      </c>
      <c r="AL90" s="207">
        <f t="shared" si="112"/>
        <v>909.56648</v>
      </c>
      <c r="AM90" s="394"/>
      <c r="AN90" s="377">
        <f t="shared" si="82"/>
        <v>29.800527000000002</v>
      </c>
      <c r="AO90" s="337">
        <v>0</v>
      </c>
      <c r="AP90" s="351">
        <f t="shared" si="86"/>
        <v>129.929975</v>
      </c>
      <c r="AQ90" s="507">
        <f t="shared" si="83"/>
        <v>9.296824999999998</v>
      </c>
      <c r="AR90" s="373">
        <f t="shared" si="87"/>
        <v>14.401881335961434</v>
      </c>
      <c r="AS90" s="372">
        <f t="shared" si="84"/>
        <v>298.222578</v>
      </c>
      <c r="AT90" s="712">
        <f t="shared" si="88"/>
        <v>229.52561793381392</v>
      </c>
      <c r="AU90" s="557">
        <f t="shared" si="89"/>
        <v>278.96288300000003</v>
      </c>
      <c r="AV90" s="742">
        <f t="shared" si="90"/>
        <v>-14.801432000000005</v>
      </c>
      <c r="AW90" s="709">
        <f t="shared" si="91"/>
        <v>-16.085947859336486</v>
      </c>
      <c r="AX90" s="742">
        <f t="shared" si="92"/>
        <v>149.18966999999998</v>
      </c>
      <c r="AY90" s="765">
        <f t="shared" si="93"/>
        <v>53.48011477211466</v>
      </c>
      <c r="AZ90" s="557">
        <f t="shared" si="94"/>
        <v>360.69901500000003</v>
      </c>
      <c r="BA90" s="795">
        <f t="shared" si="95"/>
        <v>-24.540898</v>
      </c>
      <c r="BB90" s="453">
        <f t="shared" si="96"/>
        <v>-30.024540432131047</v>
      </c>
      <c r="BC90" s="453">
        <f t="shared" si="97"/>
        <v>67.45353799999998</v>
      </c>
      <c r="BD90" s="765">
        <f t="shared" si="98"/>
        <v>18.70078242381669</v>
      </c>
      <c r="BE90" s="89">
        <f t="shared" si="99"/>
        <v>406.472755</v>
      </c>
      <c r="BF90" s="967">
        <f t="shared" si="100"/>
        <v>13.646499000000006</v>
      </c>
      <c r="BG90" s="897">
        <f t="shared" si="101"/>
        <v>29.812942966862664</v>
      </c>
      <c r="BH90" s="966">
        <f t="shared" si="102"/>
        <v>21.679798000000005</v>
      </c>
      <c r="BI90" s="373">
        <f t="shared" si="103"/>
        <v>5.333641119439861</v>
      </c>
    </row>
    <row r="91" spans="1:61" s="48" customFormat="1" ht="13.5" customHeight="1">
      <c r="A91" s="595"/>
      <c r="B91" s="699" t="s">
        <v>80</v>
      </c>
      <c r="C91" s="700"/>
      <c r="D91" s="643" t="s">
        <v>150</v>
      </c>
      <c r="E91" s="623">
        <v>0</v>
      </c>
      <c r="F91" s="454">
        <v>0</v>
      </c>
      <c r="G91" s="458"/>
      <c r="H91" s="260">
        <f t="shared" si="113"/>
        <v>0</v>
      </c>
      <c r="I91" s="457">
        <v>0</v>
      </c>
      <c r="J91" s="944">
        <f>J50</f>
        <v>0</v>
      </c>
      <c r="K91" s="943">
        <v>0</v>
      </c>
      <c r="L91" s="457">
        <f t="shared" si="114"/>
        <v>0</v>
      </c>
      <c r="M91" s="260"/>
      <c r="N91" s="457"/>
      <c r="O91" s="260"/>
      <c r="P91" s="457">
        <f t="shared" si="115"/>
        <v>0</v>
      </c>
      <c r="Q91" s="260"/>
      <c r="R91" s="457"/>
      <c r="S91" s="260"/>
      <c r="T91" s="459">
        <f t="shared" si="116"/>
        <v>0</v>
      </c>
      <c r="U91" s="326">
        <f t="shared" si="117"/>
        <v>0</v>
      </c>
      <c r="V91" s="568">
        <v>3.419239</v>
      </c>
      <c r="W91" s="360">
        <v>3.031531</v>
      </c>
      <c r="X91" s="526">
        <v>7.610415</v>
      </c>
      <c r="Y91" s="107">
        <f t="shared" si="107"/>
        <v>14.061185</v>
      </c>
      <c r="Z91" s="755">
        <v>15.896073</v>
      </c>
      <c r="AA91" s="510">
        <v>18.142307</v>
      </c>
      <c r="AB91" s="744">
        <v>12.042013</v>
      </c>
      <c r="AC91" s="162">
        <f t="shared" si="108"/>
        <v>46.080393</v>
      </c>
      <c r="AD91" s="207">
        <v>6.317102</v>
      </c>
      <c r="AE91" s="260">
        <v>0</v>
      </c>
      <c r="AF91" s="260">
        <v>0</v>
      </c>
      <c r="AG91" s="162">
        <f t="shared" si="109"/>
        <v>6.317102</v>
      </c>
      <c r="AH91" s="170">
        <v>0</v>
      </c>
      <c r="AI91" s="170">
        <v>0</v>
      </c>
      <c r="AJ91" s="170">
        <v>0</v>
      </c>
      <c r="AK91" s="460">
        <f t="shared" si="111"/>
        <v>0</v>
      </c>
      <c r="AL91" s="207">
        <f t="shared" si="112"/>
        <v>66.45868</v>
      </c>
      <c r="AM91" s="701"/>
      <c r="AN91" s="272">
        <f t="shared" si="82"/>
        <v>-3.419239</v>
      </c>
      <c r="AO91" s="332"/>
      <c r="AP91" s="360">
        <f t="shared" si="86"/>
        <v>6.45077</v>
      </c>
      <c r="AQ91" s="507">
        <f t="shared" si="83"/>
        <v>-3.031531</v>
      </c>
      <c r="AR91" s="373"/>
      <c r="AS91" s="372"/>
      <c r="AT91" s="712"/>
      <c r="AU91" s="557">
        <f t="shared" si="89"/>
        <v>29.957258</v>
      </c>
      <c r="AV91" s="742">
        <f t="shared" si="90"/>
        <v>-15.896073</v>
      </c>
      <c r="AW91" s="709">
        <f t="shared" si="91"/>
        <v>-100</v>
      </c>
      <c r="AX91" s="742">
        <f t="shared" si="92"/>
        <v>-29.957258</v>
      </c>
      <c r="AY91" s="765">
        <f t="shared" si="93"/>
        <v>-100</v>
      </c>
      <c r="AZ91" s="557">
        <f t="shared" si="94"/>
        <v>48.099565</v>
      </c>
      <c r="BA91" s="795">
        <f t="shared" si="95"/>
        <v>-18.142307</v>
      </c>
      <c r="BB91" s="453">
        <f t="shared" si="96"/>
        <v>-100</v>
      </c>
      <c r="BC91" s="453">
        <f t="shared" si="97"/>
        <v>-48.099565</v>
      </c>
      <c r="BD91" s="765">
        <f t="shared" si="98"/>
        <v>-100</v>
      </c>
      <c r="BE91" s="89">
        <f t="shared" si="99"/>
        <v>60.141577999999996</v>
      </c>
      <c r="BF91" s="967">
        <f t="shared" si="100"/>
        <v>-12.042013</v>
      </c>
      <c r="BG91" s="897">
        <f t="shared" si="101"/>
        <v>-100</v>
      </c>
      <c r="BH91" s="966">
        <f t="shared" si="102"/>
        <v>-60.141577999999996</v>
      </c>
      <c r="BI91" s="373">
        <f t="shared" si="103"/>
        <v>-100</v>
      </c>
    </row>
    <row r="92" spans="1:61" ht="15" customHeight="1">
      <c r="A92" s="53"/>
      <c r="B92" s="696" t="s">
        <v>123</v>
      </c>
      <c r="C92" s="469"/>
      <c r="D92" s="697" t="s">
        <v>37</v>
      </c>
      <c r="E92" s="612">
        <v>45.48986</v>
      </c>
      <c r="F92" s="355">
        <v>55.549463</v>
      </c>
      <c r="G92" s="230">
        <f>84.748603-0.36825</f>
        <v>84.380353</v>
      </c>
      <c r="H92" s="470">
        <f t="shared" si="113"/>
        <v>185.41967599999998</v>
      </c>
      <c r="I92" s="471">
        <f>119.676707-0.113881</f>
        <v>119.56282599999999</v>
      </c>
      <c r="J92" s="913">
        <f>J51</f>
        <v>149.470772</v>
      </c>
      <c r="K92" s="876">
        <v>134.949996</v>
      </c>
      <c r="L92" s="473">
        <f t="shared" si="114"/>
        <v>403.983594</v>
      </c>
      <c r="M92" s="472"/>
      <c r="N92" s="471"/>
      <c r="O92" s="474"/>
      <c r="P92" s="473">
        <f t="shared" si="115"/>
        <v>0</v>
      </c>
      <c r="Q92" s="475"/>
      <c r="R92" s="476"/>
      <c r="S92" s="475"/>
      <c r="T92" s="477">
        <f t="shared" si="116"/>
        <v>0</v>
      </c>
      <c r="U92" s="478">
        <f>H92+L92+P92+T92+0.135912</f>
        <v>589.539182</v>
      </c>
      <c r="V92" s="575">
        <f>39.77936</f>
        <v>39.77936</v>
      </c>
      <c r="W92" s="355">
        <f>34.637787</f>
        <v>34.637787</v>
      </c>
      <c r="X92" s="533">
        <f>52.42481</f>
        <v>52.42481</v>
      </c>
      <c r="Y92" s="477">
        <f t="shared" si="107"/>
        <v>126.84195700000001</v>
      </c>
      <c r="Z92" s="756">
        <f>98.243917</f>
        <v>98.243917</v>
      </c>
      <c r="AA92" s="938">
        <f>136.020043</f>
        <v>136.020043</v>
      </c>
      <c r="AB92" s="876">
        <f>102.77304</f>
        <v>102.77304</v>
      </c>
      <c r="AC92" s="470">
        <f t="shared" si="108"/>
        <v>337.037</v>
      </c>
      <c r="AD92" s="472">
        <f>60.122586</f>
        <v>60.122586</v>
      </c>
      <c r="AE92" s="472">
        <v>47.444979</v>
      </c>
      <c r="AF92" s="474">
        <v>42.720963</v>
      </c>
      <c r="AG92" s="470">
        <f t="shared" si="109"/>
        <v>150.28852799999999</v>
      </c>
      <c r="AH92" s="475">
        <v>57.792838</v>
      </c>
      <c r="AI92" s="475">
        <v>58.205839</v>
      </c>
      <c r="AJ92" s="479">
        <v>46.814259</v>
      </c>
      <c r="AK92" s="480">
        <f t="shared" si="111"/>
        <v>162.812936</v>
      </c>
      <c r="AL92" s="481">
        <f t="shared" si="112"/>
        <v>776.980421</v>
      </c>
      <c r="AM92" s="482"/>
      <c r="AN92" s="272">
        <f t="shared" si="82"/>
        <v>5.710500000000003</v>
      </c>
      <c r="AO92" s="332">
        <f t="shared" si="85"/>
        <v>14.35543457712744</v>
      </c>
      <c r="AP92" s="698">
        <f t="shared" si="86"/>
        <v>74.417147</v>
      </c>
      <c r="AQ92" s="507">
        <f t="shared" si="83"/>
        <v>20.911676</v>
      </c>
      <c r="AR92" s="373">
        <f t="shared" si="87"/>
        <v>60.372436610918584</v>
      </c>
      <c r="AS92" s="372">
        <f t="shared" si="84"/>
        <v>515.122035</v>
      </c>
      <c r="AT92" s="712">
        <f t="shared" si="88"/>
        <v>692.2087929546667</v>
      </c>
      <c r="AU92" s="557">
        <f t="shared" si="89"/>
        <v>225.085874</v>
      </c>
      <c r="AV92" s="742">
        <f t="shared" si="90"/>
        <v>21.31890899999999</v>
      </c>
      <c r="AW92" s="709">
        <f t="shared" si="91"/>
        <v>21.699978635827392</v>
      </c>
      <c r="AX92" s="742">
        <f t="shared" si="92"/>
        <v>364.453308</v>
      </c>
      <c r="AY92" s="765">
        <f t="shared" si="93"/>
        <v>161.91745022613014</v>
      </c>
      <c r="AZ92" s="557">
        <f t="shared" si="94"/>
        <v>361.105917</v>
      </c>
      <c r="BA92" s="795">
        <f t="shared" si="95"/>
        <v>13.450729000000024</v>
      </c>
      <c r="BB92" s="453">
        <f t="shared" si="96"/>
        <v>9.888784552141345</v>
      </c>
      <c r="BC92" s="453">
        <f t="shared" si="97"/>
        <v>228.433265</v>
      </c>
      <c r="BD92" s="765">
        <f t="shared" si="98"/>
        <v>63.25935251844683</v>
      </c>
      <c r="BE92" s="89">
        <f t="shared" si="99"/>
        <v>463.87895699999996</v>
      </c>
      <c r="BF92" s="967">
        <f t="shared" si="100"/>
        <v>32.176956000000004</v>
      </c>
      <c r="BG92" s="897">
        <f t="shared" si="101"/>
        <v>31.308751789379784</v>
      </c>
      <c r="BH92" s="966">
        <f t="shared" si="102"/>
        <v>125.66022500000003</v>
      </c>
      <c r="BI92" s="373">
        <f t="shared" si="103"/>
        <v>27.089011713889846</v>
      </c>
    </row>
    <row r="93" spans="1:61" ht="16.5" customHeight="1" hidden="1">
      <c r="A93" s="409"/>
      <c r="B93" s="448" t="s">
        <v>127</v>
      </c>
      <c r="C93" s="199"/>
      <c r="D93" s="634" t="s">
        <v>126</v>
      </c>
      <c r="E93" s="613">
        <v>0</v>
      </c>
      <c r="F93" s="352">
        <v>0</v>
      </c>
      <c r="G93" s="231"/>
      <c r="H93" s="166">
        <f t="shared" si="113"/>
        <v>0</v>
      </c>
      <c r="I93" s="278"/>
      <c r="J93" s="117"/>
      <c r="K93" s="751"/>
      <c r="L93" s="473">
        <f t="shared" si="114"/>
        <v>0</v>
      </c>
      <c r="M93" s="112"/>
      <c r="N93" s="283"/>
      <c r="O93" s="261"/>
      <c r="P93" s="473">
        <f t="shared" si="115"/>
        <v>0</v>
      </c>
      <c r="Q93" s="169"/>
      <c r="R93" s="145"/>
      <c r="S93" s="163"/>
      <c r="T93" s="477">
        <f t="shared" si="116"/>
        <v>0</v>
      </c>
      <c r="U93" s="111">
        <f t="shared" si="117"/>
        <v>0</v>
      </c>
      <c r="V93" s="576">
        <v>0</v>
      </c>
      <c r="W93" s="352">
        <v>0</v>
      </c>
      <c r="X93" s="534">
        <v>0</v>
      </c>
      <c r="Y93" s="122"/>
      <c r="Z93" s="99"/>
      <c r="AA93" s="928"/>
      <c r="AB93" s="535"/>
      <c r="AC93" s="241"/>
      <c r="AD93" s="112">
        <v>0</v>
      </c>
      <c r="AE93" s="112">
        <v>0.012794</v>
      </c>
      <c r="AF93" s="260">
        <v>0.001073</v>
      </c>
      <c r="AG93" s="241">
        <f t="shared" si="109"/>
        <v>0.013866999999999999</v>
      </c>
      <c r="AH93" s="112">
        <v>0.002465</v>
      </c>
      <c r="AI93" s="112">
        <v>0</v>
      </c>
      <c r="AJ93" s="99">
        <v>0</v>
      </c>
      <c r="AK93" s="418">
        <f t="shared" si="111"/>
        <v>0.002465</v>
      </c>
      <c r="AL93" s="260">
        <f t="shared" si="112"/>
        <v>0.016332</v>
      </c>
      <c r="AM93" s="327"/>
      <c r="AN93" s="272">
        <f t="shared" si="82"/>
        <v>0</v>
      </c>
      <c r="AO93" s="337">
        <v>0</v>
      </c>
      <c r="AP93" s="359">
        <f t="shared" si="86"/>
        <v>0</v>
      </c>
      <c r="AQ93" s="552">
        <f t="shared" si="83"/>
        <v>0</v>
      </c>
      <c r="AR93" s="464">
        <v>0</v>
      </c>
      <c r="AS93" s="398">
        <f t="shared" si="84"/>
        <v>0</v>
      </c>
      <c r="AT93" s="713">
        <v>0</v>
      </c>
      <c r="AU93" s="557">
        <f t="shared" si="89"/>
        <v>0</v>
      </c>
      <c r="AV93" s="742">
        <f t="shared" si="90"/>
        <v>0</v>
      </c>
      <c r="AW93" s="709" t="e">
        <f t="shared" si="91"/>
        <v>#DIV/0!</v>
      </c>
      <c r="AX93" s="742">
        <f t="shared" si="92"/>
        <v>0</v>
      </c>
      <c r="AY93" s="765" t="e">
        <f t="shared" si="93"/>
        <v>#DIV/0!</v>
      </c>
      <c r="AZ93" s="557">
        <f t="shared" si="94"/>
        <v>0</v>
      </c>
      <c r="BA93" s="795">
        <f t="shared" si="95"/>
        <v>0</v>
      </c>
      <c r="BB93" s="453" t="e">
        <f t="shared" si="96"/>
        <v>#DIV/0!</v>
      </c>
      <c r="BC93" s="453">
        <f t="shared" si="97"/>
        <v>0</v>
      </c>
      <c r="BD93" s="765" t="e">
        <f t="shared" si="98"/>
        <v>#DIV/0!</v>
      </c>
      <c r="BE93" s="89">
        <f t="shared" si="99"/>
        <v>0</v>
      </c>
      <c r="BF93" s="967">
        <f t="shared" si="100"/>
        <v>0</v>
      </c>
      <c r="BG93" s="897" t="e">
        <f t="shared" si="101"/>
        <v>#DIV/0!</v>
      </c>
      <c r="BH93" s="966">
        <f t="shared" si="102"/>
        <v>0</v>
      </c>
      <c r="BI93" s="373" t="e">
        <f t="shared" si="103"/>
        <v>#DIV/0!</v>
      </c>
    </row>
    <row r="94" spans="1:61" ht="16.5" customHeight="1">
      <c r="A94" s="409"/>
      <c r="B94" s="448" t="s">
        <v>127</v>
      </c>
      <c r="C94" s="199"/>
      <c r="D94" s="397" t="s">
        <v>139</v>
      </c>
      <c r="E94" s="613"/>
      <c r="F94" s="354">
        <v>8.936518</v>
      </c>
      <c r="G94" s="231"/>
      <c r="H94" s="166">
        <f t="shared" si="113"/>
        <v>8.936518</v>
      </c>
      <c r="I94" s="278"/>
      <c r="J94" s="117"/>
      <c r="K94" s="751"/>
      <c r="L94" s="473">
        <f t="shared" si="114"/>
        <v>0</v>
      </c>
      <c r="M94" s="112"/>
      <c r="N94" s="283"/>
      <c r="O94" s="261"/>
      <c r="P94" s="473">
        <f t="shared" si="115"/>
        <v>0</v>
      </c>
      <c r="Q94" s="169"/>
      <c r="R94" s="145"/>
      <c r="S94" s="163"/>
      <c r="T94" s="477">
        <f t="shared" si="116"/>
        <v>0</v>
      </c>
      <c r="U94" s="95">
        <f t="shared" si="117"/>
        <v>8.936518</v>
      </c>
      <c r="V94" s="576">
        <v>0</v>
      </c>
      <c r="W94" s="352">
        <v>0</v>
      </c>
      <c r="X94" s="534">
        <v>0</v>
      </c>
      <c r="Y94" s="122"/>
      <c r="Z94" s="99">
        <v>0</v>
      </c>
      <c r="AA94" s="928">
        <v>0</v>
      </c>
      <c r="AB94" s="535"/>
      <c r="AC94" s="241"/>
      <c r="AD94" s="112"/>
      <c r="AE94" s="112"/>
      <c r="AF94" s="260"/>
      <c r="AG94" s="241"/>
      <c r="AH94" s="112"/>
      <c r="AI94" s="112"/>
      <c r="AJ94" s="99"/>
      <c r="AK94" s="418"/>
      <c r="AL94" s="260"/>
      <c r="AM94" s="327"/>
      <c r="AN94" s="272"/>
      <c r="AO94" s="337"/>
      <c r="AP94" s="359">
        <v>0</v>
      </c>
      <c r="AQ94" s="507">
        <f t="shared" si="83"/>
        <v>8.936518</v>
      </c>
      <c r="AR94" s="395">
        <v>0</v>
      </c>
      <c r="AS94" s="372">
        <f t="shared" si="84"/>
        <v>8.936518</v>
      </c>
      <c r="AT94" s="713">
        <v>0</v>
      </c>
      <c r="AU94" s="760">
        <f t="shared" si="89"/>
        <v>0</v>
      </c>
      <c r="AV94" s="759">
        <f t="shared" si="90"/>
        <v>0</v>
      </c>
      <c r="AW94" s="760">
        <v>0</v>
      </c>
      <c r="AX94" s="742">
        <f t="shared" si="92"/>
        <v>8.936518</v>
      </c>
      <c r="AY94" s="895">
        <v>0</v>
      </c>
      <c r="AZ94" s="760">
        <f t="shared" si="94"/>
        <v>0</v>
      </c>
      <c r="BA94" s="759">
        <f t="shared" si="95"/>
        <v>0</v>
      </c>
      <c r="BB94" s="453" t="e">
        <f t="shared" si="96"/>
        <v>#DIV/0!</v>
      </c>
      <c r="BC94" s="453">
        <f t="shared" si="97"/>
        <v>8.936518</v>
      </c>
      <c r="BD94" s="765" t="e">
        <f t="shared" si="98"/>
        <v>#DIV/0!</v>
      </c>
      <c r="BE94" s="918">
        <f t="shared" si="99"/>
        <v>0</v>
      </c>
      <c r="BF94" s="973">
        <f t="shared" si="100"/>
        <v>0</v>
      </c>
      <c r="BG94" s="973">
        <v>0</v>
      </c>
      <c r="BH94" s="966">
        <f t="shared" si="102"/>
        <v>8.936518</v>
      </c>
      <c r="BI94" s="395">
        <v>0</v>
      </c>
    </row>
    <row r="95" spans="1:61" s="66" customFormat="1" ht="28.5" customHeight="1">
      <c r="A95" s="592">
        <v>9</v>
      </c>
      <c r="B95" s="1048" t="s">
        <v>153</v>
      </c>
      <c r="C95" s="1049"/>
      <c r="D95" s="1050"/>
      <c r="E95" s="527">
        <f>E83-E71</f>
        <v>568.89592</v>
      </c>
      <c r="F95" s="353">
        <f>F83-F71</f>
        <v>504.88060199999995</v>
      </c>
      <c r="G95" s="227">
        <f>G83-G71+0.36825</f>
        <v>474.84011399999997</v>
      </c>
      <c r="H95" s="248">
        <f>E95+F95+G95</f>
        <v>1548.6166360000002</v>
      </c>
      <c r="I95" s="152">
        <f>I83-I71+0.113881</f>
        <v>467.41532599999994</v>
      </c>
      <c r="J95" s="130">
        <f>J83-J71</f>
        <v>427.853062</v>
      </c>
      <c r="K95" s="772">
        <f>K83-K71+0.156181</f>
        <v>474.572773</v>
      </c>
      <c r="L95" s="152">
        <f t="shared" si="114"/>
        <v>1369.8411609999998</v>
      </c>
      <c r="M95" s="159">
        <f>M83-M71</f>
        <v>0</v>
      </c>
      <c r="N95" s="152">
        <f>N83-N71</f>
        <v>0</v>
      </c>
      <c r="O95" s="159">
        <f>O83-O71</f>
        <v>0</v>
      </c>
      <c r="P95" s="152">
        <f t="shared" si="115"/>
        <v>0</v>
      </c>
      <c r="Q95" s="159">
        <f>(Q83-Q71)</f>
        <v>0</v>
      </c>
      <c r="R95" s="152">
        <f>R83-R71</f>
        <v>0</v>
      </c>
      <c r="S95" s="159">
        <f>S83-S71</f>
        <v>0</v>
      </c>
      <c r="T95" s="129">
        <f t="shared" si="116"/>
        <v>0</v>
      </c>
      <c r="U95" s="173">
        <f t="shared" si="117"/>
        <v>2918.457797</v>
      </c>
      <c r="V95" s="572">
        <f>V83-V71</f>
        <v>580.205114</v>
      </c>
      <c r="W95" s="353">
        <f>W83-W71</f>
        <v>522.899541</v>
      </c>
      <c r="X95" s="536">
        <f>X83-X71</f>
        <v>533.720299</v>
      </c>
      <c r="Y95" s="820">
        <f t="shared" si="107"/>
        <v>1636.8249540000002</v>
      </c>
      <c r="Z95" s="130">
        <f>Z83-Z71</f>
        <v>478.82466600000004</v>
      </c>
      <c r="AA95" s="97">
        <f>AA83-AA71</f>
        <v>506.25632999999993</v>
      </c>
      <c r="AB95" s="772">
        <f>AB83-AB71</f>
        <v>465.45926599999996</v>
      </c>
      <c r="AC95" s="165">
        <f t="shared" si="108"/>
        <v>1450.540262</v>
      </c>
      <c r="AD95" s="159">
        <f>AD83-AD71</f>
        <v>518.228331</v>
      </c>
      <c r="AE95" s="159">
        <f>AE83-AE71</f>
        <v>515.654117</v>
      </c>
      <c r="AF95" s="159">
        <f>AF83-AF71</f>
        <v>484.047349</v>
      </c>
      <c r="AG95" s="159">
        <f t="shared" si="109"/>
        <v>1517.929797</v>
      </c>
      <c r="AH95" s="159">
        <f>(AH83-AH71)-3.810188</f>
        <v>469.98898</v>
      </c>
      <c r="AI95" s="159">
        <f>AI83-AI71</f>
        <v>530.423707</v>
      </c>
      <c r="AJ95" s="130">
        <f>AJ83-AJ71</f>
        <v>601.1641720000001</v>
      </c>
      <c r="AK95" s="420">
        <f t="shared" si="111"/>
        <v>1601.5768590000002</v>
      </c>
      <c r="AL95" s="159">
        <f t="shared" si="112"/>
        <v>6206.871872</v>
      </c>
      <c r="AM95" s="155"/>
      <c r="AN95" s="271">
        <f t="shared" si="82"/>
        <v>-11.309193999999934</v>
      </c>
      <c r="AO95" s="334">
        <f t="shared" si="85"/>
        <v>-1.9491717199858982</v>
      </c>
      <c r="AP95" s="555">
        <f t="shared" si="86"/>
        <v>1103.104655</v>
      </c>
      <c r="AQ95" s="508">
        <f t="shared" si="83"/>
        <v>-18.018939000000046</v>
      </c>
      <c r="AR95" s="375">
        <f t="shared" si="87"/>
        <v>-3.4459657328328177</v>
      </c>
      <c r="AS95" s="374">
        <f t="shared" si="84"/>
        <v>1815.353142</v>
      </c>
      <c r="AT95" s="825">
        <f t="shared" si="88"/>
        <v>164.56762590671866</v>
      </c>
      <c r="AU95" s="559">
        <f t="shared" si="89"/>
        <v>2115.64962</v>
      </c>
      <c r="AV95" s="801">
        <f t="shared" si="90"/>
        <v>-11.4093400000001</v>
      </c>
      <c r="AW95" s="797">
        <f t="shared" si="91"/>
        <v>-2.3827803390563247</v>
      </c>
      <c r="AX95" s="801">
        <f t="shared" si="92"/>
        <v>802.8081769999999</v>
      </c>
      <c r="AY95" s="892">
        <f t="shared" si="93"/>
        <v>37.946178299599524</v>
      </c>
      <c r="AZ95" s="559">
        <f t="shared" si="94"/>
        <v>2621.9059500000003</v>
      </c>
      <c r="BA95" s="796">
        <f t="shared" si="95"/>
        <v>-78.40326799999991</v>
      </c>
      <c r="BB95" s="516">
        <f t="shared" si="96"/>
        <v>-15.486871640696307</v>
      </c>
      <c r="BC95" s="516">
        <f t="shared" si="97"/>
        <v>296.5518469999997</v>
      </c>
      <c r="BD95" s="892">
        <f t="shared" si="98"/>
        <v>11.310544796620164</v>
      </c>
      <c r="BE95" s="968">
        <f t="shared" si="99"/>
        <v>3087.365216</v>
      </c>
      <c r="BF95" s="969">
        <f t="shared" si="100"/>
        <v>9.113507000000027</v>
      </c>
      <c r="BG95" s="896">
        <f t="shared" si="101"/>
        <v>1.9579601622969847</v>
      </c>
      <c r="BH95" s="970">
        <f t="shared" si="102"/>
        <v>-168.90741900000012</v>
      </c>
      <c r="BI95" s="375">
        <f t="shared" si="103"/>
        <v>-5.470924467395449</v>
      </c>
    </row>
    <row r="96" spans="1:61" s="66" customFormat="1" ht="19.5" customHeight="1">
      <c r="A96" s="592">
        <v>10</v>
      </c>
      <c r="B96" s="660" t="s">
        <v>132</v>
      </c>
      <c r="C96" s="323"/>
      <c r="D96" s="693" t="s">
        <v>133</v>
      </c>
      <c r="E96" s="527">
        <f>E97+E98</f>
        <v>4.8580820000000005</v>
      </c>
      <c r="F96" s="353">
        <f>F97+F98+F99</f>
        <v>2.853029</v>
      </c>
      <c r="G96" s="888">
        <f>G97+G98+G99</f>
        <v>-2.135738</v>
      </c>
      <c r="H96" s="248">
        <f>E96+F96+G96</f>
        <v>5.575373000000001</v>
      </c>
      <c r="I96" s="888">
        <f>I97+I98+I99</f>
        <v>-4.315587</v>
      </c>
      <c r="J96" s="946">
        <f>J97+J98+J99</f>
        <v>-11.257746000000001</v>
      </c>
      <c r="K96" s="823">
        <f>K97+K98+K99</f>
        <v>-11.319796</v>
      </c>
      <c r="L96" s="292">
        <f t="shared" si="114"/>
        <v>-26.893129000000002</v>
      </c>
      <c r="M96" s="159">
        <f>M97+M98+M99</f>
        <v>0</v>
      </c>
      <c r="N96" s="152">
        <f>(N97+N98+N99)</f>
        <v>0</v>
      </c>
      <c r="O96" s="159">
        <f>O97+O98+O99</f>
        <v>0</v>
      </c>
      <c r="P96" s="152">
        <f t="shared" si="115"/>
        <v>0</v>
      </c>
      <c r="Q96" s="159">
        <f>Q97+Q98+Q99</f>
        <v>0</v>
      </c>
      <c r="R96" s="152">
        <f>R97+R98</f>
        <v>0</v>
      </c>
      <c r="S96" s="159">
        <f>S97+S98+S99</f>
        <v>0</v>
      </c>
      <c r="T96" s="129">
        <f t="shared" si="116"/>
        <v>0</v>
      </c>
      <c r="U96" s="173">
        <f t="shared" si="117"/>
        <v>-21.317756000000003</v>
      </c>
      <c r="V96" s="572">
        <f>V97+V98</f>
        <v>11.966906</v>
      </c>
      <c r="W96" s="353">
        <f>W97+W98+W99</f>
        <v>10.026737</v>
      </c>
      <c r="X96" s="536">
        <f>X97+X98+X99</f>
        <v>8.429873</v>
      </c>
      <c r="Y96" s="820">
        <f>V96+W96+X96</f>
        <v>30.423516</v>
      </c>
      <c r="Z96" s="130">
        <f>Z97+Z98+Z99</f>
        <v>3.942739</v>
      </c>
      <c r="AA96" s="939">
        <f>AA97+AA98+AA99</f>
        <v>-5.251173</v>
      </c>
      <c r="AB96" s="823">
        <f>AB97+AB98+AB99</f>
        <v>-4.56091</v>
      </c>
      <c r="AC96" s="165">
        <f t="shared" si="108"/>
        <v>-5.869344</v>
      </c>
      <c r="AD96" s="159">
        <f>AD97+AD98+AD99</f>
        <v>6.491093</v>
      </c>
      <c r="AE96" s="159">
        <f>(AE97+AE98+AE99)</f>
        <v>7.935178</v>
      </c>
      <c r="AF96" s="159">
        <f>AF97+AF98+AF99</f>
        <v>6.587035</v>
      </c>
      <c r="AG96" s="159">
        <f t="shared" si="109"/>
        <v>21.013306</v>
      </c>
      <c r="AH96" s="159">
        <f>AH97+AH98+AH99</f>
        <v>8.337926999999999</v>
      </c>
      <c r="AI96" s="159">
        <f>AI97+AI98</f>
        <v>11.253999</v>
      </c>
      <c r="AJ96" s="130">
        <f>AJ97+AJ98+AJ99</f>
        <v>5.343357999999999</v>
      </c>
      <c r="AK96" s="420">
        <f t="shared" si="111"/>
        <v>24.935284</v>
      </c>
      <c r="AL96" s="159">
        <f t="shared" si="112"/>
        <v>70.502762</v>
      </c>
      <c r="AM96" s="155"/>
      <c r="AN96" s="271">
        <f t="shared" si="82"/>
        <v>-7.108823999999999</v>
      </c>
      <c r="AO96" s="334">
        <f t="shared" si="85"/>
        <v>-59.40402640415158</v>
      </c>
      <c r="AP96" s="555">
        <f t="shared" si="86"/>
        <v>21.993643</v>
      </c>
      <c r="AQ96" s="508">
        <f t="shared" si="83"/>
        <v>-7.173708000000001</v>
      </c>
      <c r="AR96" s="375">
        <f t="shared" si="87"/>
        <v>-71.54578802655341</v>
      </c>
      <c r="AS96" s="374">
        <f t="shared" si="84"/>
        <v>-43.311399</v>
      </c>
      <c r="AT96" s="825">
        <f t="shared" si="88"/>
        <v>-196.92689837695377</v>
      </c>
      <c r="AU96" s="559">
        <f t="shared" si="89"/>
        <v>34.366255</v>
      </c>
      <c r="AV96" s="801">
        <f t="shared" si="90"/>
        <v>-8.258326</v>
      </c>
      <c r="AW96" s="797">
        <f t="shared" si="91"/>
        <v>-209.4565732096393</v>
      </c>
      <c r="AX96" s="801">
        <f t="shared" si="92"/>
        <v>-55.684011000000005</v>
      </c>
      <c r="AY96" s="892">
        <f t="shared" si="93"/>
        <v>-162.03107088625165</v>
      </c>
      <c r="AZ96" s="559">
        <f t="shared" si="94"/>
        <v>29.115082</v>
      </c>
      <c r="BA96" s="796">
        <f t="shared" si="95"/>
        <v>-6.006573000000001</v>
      </c>
      <c r="BB96" s="516">
        <f t="shared" si="96"/>
        <v>114.38535732873402</v>
      </c>
      <c r="BC96" s="516">
        <f t="shared" si="97"/>
        <v>-50.432838000000004</v>
      </c>
      <c r="BD96" s="892">
        <f t="shared" si="98"/>
        <v>-173.2189454249176</v>
      </c>
      <c r="BE96" s="968">
        <f t="shared" si="99"/>
        <v>24.554172</v>
      </c>
      <c r="BF96" s="969">
        <f t="shared" si="100"/>
        <v>-6.758886</v>
      </c>
      <c r="BG96" s="896">
        <f t="shared" si="101"/>
        <v>148.19161088466996</v>
      </c>
      <c r="BH96" s="970">
        <f t="shared" si="102"/>
        <v>-45.871928000000004</v>
      </c>
      <c r="BI96" s="375">
        <f t="shared" si="103"/>
        <v>-186.81928268646158</v>
      </c>
    </row>
    <row r="97" spans="1:61" ht="15.75" customHeight="1">
      <c r="A97" s="409"/>
      <c r="B97" s="448" t="s">
        <v>81</v>
      </c>
      <c r="C97" s="176"/>
      <c r="D97" s="694" t="s">
        <v>83</v>
      </c>
      <c r="E97" s="524">
        <f>E81-E58</f>
        <v>4.7439480000000005</v>
      </c>
      <c r="F97" s="354">
        <f>F81-F58</f>
        <v>2.7521999999999998</v>
      </c>
      <c r="G97" s="284">
        <f>G81-G58</f>
        <v>-2.139456</v>
      </c>
      <c r="H97" s="243">
        <f>E97+F97+G97</f>
        <v>5.356692</v>
      </c>
      <c r="I97" s="284">
        <f>I81-I58</f>
        <v>-3.814272</v>
      </c>
      <c r="J97" s="837">
        <f>J81-J58</f>
        <v>-10.646328</v>
      </c>
      <c r="K97" s="824">
        <f>K81-K58</f>
        <v>-10.820964</v>
      </c>
      <c r="L97" s="148">
        <f t="shared" si="114"/>
        <v>-25.281564</v>
      </c>
      <c r="M97" s="251">
        <f>M81-M58</f>
        <v>0</v>
      </c>
      <c r="N97" s="278">
        <f>N81-N58</f>
        <v>0</v>
      </c>
      <c r="O97" s="251">
        <f>O81-O58</f>
        <v>0</v>
      </c>
      <c r="P97" s="275">
        <f t="shared" si="115"/>
        <v>0</v>
      </c>
      <c r="Q97" s="251">
        <f>Q81-Q58</f>
        <v>0</v>
      </c>
      <c r="R97" s="278">
        <f>R81-R58</f>
        <v>0</v>
      </c>
      <c r="S97" s="251">
        <f>S81-S58</f>
        <v>0</v>
      </c>
      <c r="T97" s="116">
        <f t="shared" si="116"/>
        <v>0</v>
      </c>
      <c r="U97" s="200">
        <f t="shared" si="117"/>
        <v>-19.924872</v>
      </c>
      <c r="V97" s="568">
        <f>V81-V58</f>
        <v>10.89462</v>
      </c>
      <c r="W97" s="354">
        <f>W81-W58</f>
        <v>9.134532</v>
      </c>
      <c r="X97" s="526">
        <f>X81-X58</f>
        <v>8.062692</v>
      </c>
      <c r="Y97" s="812">
        <f t="shared" si="107"/>
        <v>28.091844000000002</v>
      </c>
      <c r="Z97" s="127">
        <f>Z81-Z58</f>
        <v>4.073124</v>
      </c>
      <c r="AA97" s="940">
        <f>AA81-AA58</f>
        <v>-4.8589199999999995</v>
      </c>
      <c r="AB97" s="824">
        <f>AB81-AB58</f>
        <v>-4.479552</v>
      </c>
      <c r="AC97" s="166">
        <f t="shared" si="108"/>
        <v>-5.2653479999999995</v>
      </c>
      <c r="AD97" s="251">
        <f>AD81-AD58</f>
        <v>6.7114080000000005</v>
      </c>
      <c r="AE97" s="251">
        <f>AE81-AE58</f>
        <v>8.158524</v>
      </c>
      <c r="AF97" s="251">
        <f>AF81-AF58</f>
        <v>6.819516</v>
      </c>
      <c r="AG97" s="249">
        <f t="shared" si="109"/>
        <v>21.689448</v>
      </c>
      <c r="AH97" s="251">
        <f>AH81-AH58</f>
        <v>8.441927999999999</v>
      </c>
      <c r="AI97" s="251">
        <f>AI81-AI58</f>
        <v>11.195052</v>
      </c>
      <c r="AJ97" s="127">
        <f>AJ81-AJ58</f>
        <v>5.2151879999999995</v>
      </c>
      <c r="AK97" s="421">
        <f t="shared" si="111"/>
        <v>24.852168</v>
      </c>
      <c r="AL97" s="207">
        <f t="shared" si="112"/>
        <v>69.368112</v>
      </c>
      <c r="AM97" s="137"/>
      <c r="AN97" s="272">
        <f t="shared" si="82"/>
        <v>-6.150671999999999</v>
      </c>
      <c r="AO97" s="332">
        <f t="shared" si="85"/>
        <v>-56.45604894893076</v>
      </c>
      <c r="AP97" s="351">
        <f t="shared" si="86"/>
        <v>20.029152</v>
      </c>
      <c r="AQ97" s="507">
        <f t="shared" si="83"/>
        <v>-6.382332</v>
      </c>
      <c r="AR97" s="373">
        <f t="shared" si="87"/>
        <v>-69.87037759569948</v>
      </c>
      <c r="AS97" s="372">
        <f t="shared" si="84"/>
        <v>-39.954024000000004</v>
      </c>
      <c r="AT97" s="712">
        <f t="shared" si="88"/>
        <v>-199.47935888648706</v>
      </c>
      <c r="AU97" s="557">
        <f t="shared" si="89"/>
        <v>32.164968</v>
      </c>
      <c r="AV97" s="742">
        <f t="shared" si="90"/>
        <v>-7.887396</v>
      </c>
      <c r="AW97" s="709">
        <f t="shared" si="91"/>
        <v>-193.64487798554623</v>
      </c>
      <c r="AX97" s="742">
        <f t="shared" si="92"/>
        <v>-52.08984</v>
      </c>
      <c r="AY97" s="765">
        <f t="shared" si="93"/>
        <v>-161.9458785098123</v>
      </c>
      <c r="AZ97" s="557">
        <f t="shared" si="94"/>
        <v>27.306048000000004</v>
      </c>
      <c r="BA97" s="795">
        <f t="shared" si="95"/>
        <v>-5.787408000000001</v>
      </c>
      <c r="BB97" s="453">
        <f t="shared" si="96"/>
        <v>119.10893778864443</v>
      </c>
      <c r="BC97" s="453">
        <f t="shared" si="97"/>
        <v>-47.230920000000005</v>
      </c>
      <c r="BD97" s="765">
        <f t="shared" si="98"/>
        <v>-172.96871374429577</v>
      </c>
      <c r="BE97" s="89">
        <f t="shared" si="99"/>
        <v>22.826496000000006</v>
      </c>
      <c r="BF97" s="967">
        <f t="shared" si="100"/>
        <v>-6.341412</v>
      </c>
      <c r="BG97" s="897">
        <f t="shared" si="101"/>
        <v>141.56353135313532</v>
      </c>
      <c r="BH97" s="966">
        <f t="shared" si="102"/>
        <v>-42.75136800000001</v>
      </c>
      <c r="BI97" s="373">
        <f t="shared" si="103"/>
        <v>-187.2883512213175</v>
      </c>
    </row>
    <row r="98" spans="1:61" ht="14.25" customHeight="1">
      <c r="A98" s="409"/>
      <c r="B98" s="448" t="s">
        <v>82</v>
      </c>
      <c r="C98" s="176"/>
      <c r="D98" s="694" t="s">
        <v>84</v>
      </c>
      <c r="E98" s="524">
        <v>0.114134</v>
      </c>
      <c r="F98" s="354">
        <v>0.100829</v>
      </c>
      <c r="G98" s="237">
        <v>0.003718</v>
      </c>
      <c r="H98" s="243">
        <f>E98+F98+G98</f>
        <v>0.21868100000000001</v>
      </c>
      <c r="I98" s="284">
        <v>-0.501315</v>
      </c>
      <c r="J98" s="940">
        <v>-0.611418</v>
      </c>
      <c r="K98" s="822">
        <v>-0.498832</v>
      </c>
      <c r="L98" s="148">
        <f t="shared" si="114"/>
        <v>-1.611565</v>
      </c>
      <c r="M98" s="112"/>
      <c r="N98" s="278"/>
      <c r="O98" s="207"/>
      <c r="P98" s="275">
        <f t="shared" si="115"/>
        <v>0</v>
      </c>
      <c r="Q98" s="251"/>
      <c r="R98" s="278"/>
      <c r="S98" s="251"/>
      <c r="T98" s="116">
        <f t="shared" si="116"/>
        <v>0</v>
      </c>
      <c r="U98" s="739">
        <f>H98+L98+P98+T98</f>
        <v>-1.392884</v>
      </c>
      <c r="V98" s="568">
        <v>1.072286</v>
      </c>
      <c r="W98" s="354">
        <v>0.892205</v>
      </c>
      <c r="X98" s="526">
        <v>0.367181</v>
      </c>
      <c r="Y98" s="812">
        <f t="shared" si="107"/>
        <v>2.331672</v>
      </c>
      <c r="Z98" s="837">
        <v>-0.130385</v>
      </c>
      <c r="AA98" s="940">
        <v>-0.392253</v>
      </c>
      <c r="AB98" s="775">
        <v>-0.081358</v>
      </c>
      <c r="AC98" s="166">
        <f t="shared" si="108"/>
        <v>-0.6039960000000001</v>
      </c>
      <c r="AD98" s="112" t="s">
        <v>124</v>
      </c>
      <c r="AE98" s="251">
        <v>-0.223346</v>
      </c>
      <c r="AF98" s="207">
        <v>-0.232481</v>
      </c>
      <c r="AG98" s="249">
        <f t="shared" si="109"/>
        <v>-0.676142</v>
      </c>
      <c r="AH98" s="251">
        <v>-0.104001</v>
      </c>
      <c r="AI98" s="251">
        <v>0.058947</v>
      </c>
      <c r="AJ98" s="127">
        <v>0.12817</v>
      </c>
      <c r="AK98" s="421">
        <f t="shared" si="111"/>
        <v>0.08311600000000001</v>
      </c>
      <c r="AL98" s="207">
        <f>Y98+AC98+AG98+AK98</f>
        <v>1.1346500000000002</v>
      </c>
      <c r="AM98" s="137"/>
      <c r="AN98" s="272">
        <f t="shared" si="82"/>
        <v>-0.9581520000000001</v>
      </c>
      <c r="AO98" s="332">
        <f t="shared" si="85"/>
        <v>-89.35601136264019</v>
      </c>
      <c r="AP98" s="351">
        <f t="shared" si="86"/>
        <v>1.9644910000000002</v>
      </c>
      <c r="AQ98" s="507">
        <f t="shared" si="83"/>
        <v>-0.7913760000000001</v>
      </c>
      <c r="AR98" s="373">
        <f t="shared" si="87"/>
        <v>-88.69889767486171</v>
      </c>
      <c r="AS98" s="372">
        <f t="shared" si="84"/>
        <v>-3.357375</v>
      </c>
      <c r="AT98" s="712">
        <f t="shared" si="88"/>
        <v>-170.9030481687114</v>
      </c>
      <c r="AU98" s="557">
        <f t="shared" si="89"/>
        <v>2.201287</v>
      </c>
      <c r="AV98" s="742">
        <f t="shared" si="90"/>
        <v>-0.37093</v>
      </c>
      <c r="AW98" s="709">
        <f t="shared" si="91"/>
        <v>284.48824634735587</v>
      </c>
      <c r="AX98" s="742">
        <f t="shared" si="92"/>
        <v>-3.5941710000000002</v>
      </c>
      <c r="AY98" s="765">
        <f t="shared" si="93"/>
        <v>-163.27589269368326</v>
      </c>
      <c r="AZ98" s="557">
        <f t="shared" si="94"/>
        <v>1.8090340000000003</v>
      </c>
      <c r="BA98" s="795">
        <f t="shared" si="95"/>
        <v>-0.219165</v>
      </c>
      <c r="BB98" s="453">
        <f t="shared" si="96"/>
        <v>55.873377641471194</v>
      </c>
      <c r="BC98" s="453">
        <f t="shared" si="97"/>
        <v>-3.201918</v>
      </c>
      <c r="BD98" s="765">
        <f t="shared" si="98"/>
        <v>-176.99601002523997</v>
      </c>
      <c r="BE98" s="89">
        <f t="shared" si="99"/>
        <v>1.7276760000000002</v>
      </c>
      <c r="BF98" s="967">
        <f t="shared" si="100"/>
        <v>-0.417474</v>
      </c>
      <c r="BG98" s="897">
        <f t="shared" si="101"/>
        <v>513.1320828928931</v>
      </c>
      <c r="BH98" s="966">
        <f t="shared" si="102"/>
        <v>-3.1205600000000002</v>
      </c>
      <c r="BI98" s="373">
        <f t="shared" si="103"/>
        <v>-180.6218295560047</v>
      </c>
    </row>
    <row r="99" spans="1:61" ht="12.75" customHeight="1" hidden="1">
      <c r="A99" s="409"/>
      <c r="B99" s="669" t="s">
        <v>86</v>
      </c>
      <c r="C99" s="186"/>
      <c r="D99" s="695" t="s">
        <v>87</v>
      </c>
      <c r="E99" s="607">
        <v>0</v>
      </c>
      <c r="F99" s="361">
        <v>0</v>
      </c>
      <c r="G99" s="238">
        <v>0</v>
      </c>
      <c r="H99" s="238">
        <v>0</v>
      </c>
      <c r="I99" s="285">
        <v>0</v>
      </c>
      <c r="J99" s="838">
        <v>0</v>
      </c>
      <c r="K99" s="535">
        <v>0</v>
      </c>
      <c r="L99" s="113">
        <v>0</v>
      </c>
      <c r="M99" s="112">
        <v>0</v>
      </c>
      <c r="N99" s="113">
        <v>0</v>
      </c>
      <c r="O99" s="112">
        <v>0</v>
      </c>
      <c r="P99" s="113">
        <v>0</v>
      </c>
      <c r="Q99" s="112">
        <v>0</v>
      </c>
      <c r="R99" s="113">
        <v>0</v>
      </c>
      <c r="S99" s="112">
        <v>0</v>
      </c>
      <c r="T99" s="101">
        <v>0</v>
      </c>
      <c r="U99" s="98">
        <v>0</v>
      </c>
      <c r="V99" s="587">
        <v>0</v>
      </c>
      <c r="W99" s="361">
        <v>0</v>
      </c>
      <c r="X99" s="545">
        <v>0</v>
      </c>
      <c r="Y99" s="172">
        <v>0</v>
      </c>
      <c r="Z99" s="838">
        <v>0</v>
      </c>
      <c r="AA99" s="941">
        <v>0</v>
      </c>
      <c r="AB99" s="535">
        <v>0</v>
      </c>
      <c r="AC99" s="112">
        <v>0</v>
      </c>
      <c r="AD99" s="112">
        <v>0</v>
      </c>
      <c r="AE99" s="112">
        <v>0</v>
      </c>
      <c r="AF99" s="112">
        <v>0</v>
      </c>
      <c r="AG99" s="112">
        <v>0</v>
      </c>
      <c r="AH99" s="112">
        <v>0</v>
      </c>
      <c r="AI99" s="112">
        <v>0</v>
      </c>
      <c r="AJ99" s="99">
        <v>0</v>
      </c>
      <c r="AK99" s="423">
        <v>0</v>
      </c>
      <c r="AL99" s="112">
        <v>0</v>
      </c>
      <c r="AM99" s="100">
        <v>0</v>
      </c>
      <c r="AN99" s="330">
        <f t="shared" si="82"/>
        <v>0</v>
      </c>
      <c r="AO99" s="338">
        <v>0</v>
      </c>
      <c r="AP99" s="351">
        <f t="shared" si="86"/>
        <v>0</v>
      </c>
      <c r="AQ99" s="507">
        <f t="shared" si="83"/>
        <v>0</v>
      </c>
      <c r="AR99" s="373" t="e">
        <f t="shared" si="87"/>
        <v>#DIV/0!</v>
      </c>
      <c r="AS99" s="372">
        <f t="shared" si="84"/>
        <v>0</v>
      </c>
      <c r="AT99" s="712" t="e">
        <f t="shared" si="88"/>
        <v>#DIV/0!</v>
      </c>
      <c r="AU99" s="557">
        <f t="shared" si="89"/>
        <v>0</v>
      </c>
      <c r="AV99" s="742">
        <f t="shared" si="90"/>
        <v>0</v>
      </c>
      <c r="AW99" s="709" t="e">
        <f t="shared" si="91"/>
        <v>#DIV/0!</v>
      </c>
      <c r="AX99" s="742">
        <f t="shared" si="92"/>
        <v>0</v>
      </c>
      <c r="AY99" s="765" t="e">
        <f t="shared" si="93"/>
        <v>#DIV/0!</v>
      </c>
      <c r="AZ99" s="557">
        <f t="shared" si="94"/>
        <v>0</v>
      </c>
      <c r="BA99" s="795">
        <f t="shared" si="95"/>
        <v>0</v>
      </c>
      <c r="BB99" s="453" t="e">
        <f t="shared" si="96"/>
        <v>#DIV/0!</v>
      </c>
      <c r="BC99" s="453">
        <f t="shared" si="97"/>
        <v>0</v>
      </c>
      <c r="BD99" s="765" t="e">
        <f t="shared" si="98"/>
        <v>#DIV/0!</v>
      </c>
      <c r="BE99" s="89">
        <f t="shared" si="99"/>
        <v>0</v>
      </c>
      <c r="BF99" s="967">
        <f t="shared" si="100"/>
        <v>0</v>
      </c>
      <c r="BG99" s="897" t="e">
        <f t="shared" si="101"/>
        <v>#DIV/0!</v>
      </c>
      <c r="BH99" s="966">
        <f t="shared" si="102"/>
        <v>0</v>
      </c>
      <c r="BI99" s="373" t="e">
        <f t="shared" si="103"/>
        <v>#DIV/0!</v>
      </c>
    </row>
    <row r="100" spans="1:61" s="66" customFormat="1" ht="19.5" customHeight="1" thickBot="1">
      <c r="A100" s="799">
        <v>11</v>
      </c>
      <c r="B100" s="323" t="s">
        <v>152</v>
      </c>
      <c r="C100" s="323"/>
      <c r="D100" s="800"/>
      <c r="E100" s="527">
        <f>E95-E96</f>
        <v>564.0378380000001</v>
      </c>
      <c r="F100" s="353">
        <f>F95-F96</f>
        <v>502.02757299999996</v>
      </c>
      <c r="G100" s="227">
        <f>G95-G96</f>
        <v>476.975852</v>
      </c>
      <c r="H100" s="227">
        <f>E100+F100+G100</f>
        <v>1543.041263</v>
      </c>
      <c r="I100" s="152">
        <f>I95-I96-I101</f>
        <v>432.85276099999993</v>
      </c>
      <c r="J100" s="158">
        <f>J95-J96-J101</f>
        <v>434.477567</v>
      </c>
      <c r="K100" s="907">
        <f>K95-K96-K101</f>
        <v>438.143552</v>
      </c>
      <c r="L100" s="722">
        <f>I100+J100+K100</f>
        <v>1305.47388</v>
      </c>
      <c r="M100" s="164">
        <f>M95-M96</f>
        <v>0</v>
      </c>
      <c r="N100" s="722">
        <f>N95-N96</f>
        <v>0</v>
      </c>
      <c r="O100" s="164">
        <f>O95-O96</f>
        <v>0</v>
      </c>
      <c r="P100" s="722">
        <f>M100+N100+O100</f>
        <v>0</v>
      </c>
      <c r="Q100" s="164">
        <f>Q95-Q96</f>
        <v>0</v>
      </c>
      <c r="R100" s="722">
        <f>R95-R96</f>
        <v>0</v>
      </c>
      <c r="S100" s="164">
        <f>S95-S96</f>
        <v>0</v>
      </c>
      <c r="T100" s="723">
        <f>Q100+R100+S100</f>
        <v>0</v>
      </c>
      <c r="U100" s="724">
        <f>H100+L100+P100+T100</f>
        <v>2848.515143</v>
      </c>
      <c r="V100" s="572">
        <f>V95-V96</f>
        <v>568.238208</v>
      </c>
      <c r="W100" s="353">
        <f>W95-W96</f>
        <v>512.872804</v>
      </c>
      <c r="X100" s="536">
        <f>X95-X96</f>
        <v>525.2904259999999</v>
      </c>
      <c r="Y100" s="813">
        <f t="shared" si="107"/>
        <v>1606.4014379999999</v>
      </c>
      <c r="Z100" s="130">
        <f>Z95-Z96-Z101</f>
        <v>449.65506200000004</v>
      </c>
      <c r="AA100" s="942">
        <f>AA95-AA96-AA101</f>
        <v>451.2557029999999</v>
      </c>
      <c r="AB100" s="724">
        <f>AB95-AB96-AB101</f>
        <v>469.52356799999995</v>
      </c>
      <c r="AC100" s="436">
        <f t="shared" si="108"/>
        <v>1370.434333</v>
      </c>
      <c r="AD100" s="436">
        <f>AD95-AD96</f>
        <v>511.73723800000005</v>
      </c>
      <c r="AE100" s="436">
        <f>AE95-AE96</f>
        <v>507.71893900000003</v>
      </c>
      <c r="AF100" s="436">
        <f>AF95-AF96</f>
        <v>477.460314</v>
      </c>
      <c r="AG100" s="436">
        <f t="shared" si="109"/>
        <v>1496.916491</v>
      </c>
      <c r="AH100" s="436">
        <f>AH95-AH96</f>
        <v>461.65105300000005</v>
      </c>
      <c r="AI100" s="436">
        <f>AI95-AI96</f>
        <v>519.169708</v>
      </c>
      <c r="AJ100" s="487">
        <f>AJ95-AJ96</f>
        <v>595.8208140000002</v>
      </c>
      <c r="AK100" s="488">
        <f t="shared" si="111"/>
        <v>1576.641575</v>
      </c>
      <c r="AL100" s="436">
        <f t="shared" si="112"/>
        <v>6050.393837</v>
      </c>
      <c r="AM100" s="156"/>
      <c r="AN100" s="489">
        <f t="shared" si="82"/>
        <v>-4.200369999999907</v>
      </c>
      <c r="AO100" s="490">
        <f t="shared" si="85"/>
        <v>-0.7391917581156235</v>
      </c>
      <c r="AP100" s="259">
        <f t="shared" si="86"/>
        <v>1081.1110119999998</v>
      </c>
      <c r="AQ100" s="553">
        <f t="shared" si="83"/>
        <v>-10.845231000000013</v>
      </c>
      <c r="AR100" s="491">
        <f t="shared" si="87"/>
        <v>-2.1146044234390757</v>
      </c>
      <c r="AS100" s="463">
        <f t="shared" si="84"/>
        <v>1767.4041310000002</v>
      </c>
      <c r="AT100" s="827">
        <f t="shared" si="88"/>
        <v>163.48035598401623</v>
      </c>
      <c r="AU100" s="559">
        <f t="shared" si="89"/>
        <v>2056.0564999999997</v>
      </c>
      <c r="AV100" s="801">
        <f t="shared" si="90"/>
        <v>-16.802301000000114</v>
      </c>
      <c r="AW100" s="797">
        <f t="shared" si="91"/>
        <v>-3.7367089620354648</v>
      </c>
      <c r="AX100" s="801">
        <f t="shared" si="92"/>
        <v>792.4586430000004</v>
      </c>
      <c r="AY100" s="892">
        <f t="shared" si="93"/>
        <v>38.54264914412619</v>
      </c>
      <c r="AZ100" s="559">
        <f t="shared" si="94"/>
        <v>2507.3122029999995</v>
      </c>
      <c r="BA100" s="796">
        <f t="shared" si="95"/>
        <v>-16.778135999999904</v>
      </c>
      <c r="BB100" s="516">
        <f t="shared" si="96"/>
        <v>-3.718099491808502</v>
      </c>
      <c r="BC100" s="516">
        <f t="shared" si="97"/>
        <v>341.2029400000006</v>
      </c>
      <c r="BD100" s="892">
        <f t="shared" si="98"/>
        <v>13.608314895598213</v>
      </c>
      <c r="BE100" s="968">
        <f t="shared" si="99"/>
        <v>2976.8357709999996</v>
      </c>
      <c r="BF100" s="969">
        <f t="shared" si="100"/>
        <v>-31.380015999999955</v>
      </c>
      <c r="BG100" s="896">
        <f t="shared" si="101"/>
        <v>-6.683373985605755</v>
      </c>
      <c r="BH100" s="970">
        <f t="shared" si="102"/>
        <v>-128.3206279999995</v>
      </c>
      <c r="BI100" s="375">
        <f t="shared" si="103"/>
        <v>-4.3106384722356665</v>
      </c>
    </row>
    <row r="101" spans="1:61" ht="21" customHeight="1" thickBot="1">
      <c r="A101" s="483">
        <v>12</v>
      </c>
      <c r="B101" s="324" t="s">
        <v>120</v>
      </c>
      <c r="C101" s="324"/>
      <c r="D101" s="839"/>
      <c r="E101" s="328">
        <v>0</v>
      </c>
      <c r="F101" s="329">
        <v>0</v>
      </c>
      <c r="G101" s="328"/>
      <c r="H101" s="328"/>
      <c r="I101" s="889">
        <v>38.878152</v>
      </c>
      <c r="J101" s="485">
        <v>4.633241</v>
      </c>
      <c r="K101" s="777">
        <v>47.749017</v>
      </c>
      <c r="L101" s="890">
        <f>I101+J101+K101</f>
        <v>91.26041000000001</v>
      </c>
      <c r="M101" s="253">
        <v>0</v>
      </c>
      <c r="N101" s="889"/>
      <c r="O101" s="253">
        <v>0</v>
      </c>
      <c r="P101" s="879">
        <f>M101+N101+O101</f>
        <v>0</v>
      </c>
      <c r="Q101" s="253"/>
      <c r="R101" s="889">
        <v>0</v>
      </c>
      <c r="S101" s="253"/>
      <c r="T101" s="880">
        <f>Q101+R101+S101</f>
        <v>0</v>
      </c>
      <c r="U101" s="877">
        <f>H101+L101+P101+T101</f>
        <v>91.26041000000001</v>
      </c>
      <c r="V101" s="776">
        <v>0</v>
      </c>
      <c r="W101" s="402">
        <v>0</v>
      </c>
      <c r="X101" s="300"/>
      <c r="Y101" s="830">
        <v>0</v>
      </c>
      <c r="Z101" s="485">
        <v>25.226865</v>
      </c>
      <c r="AA101" s="486">
        <v>60.2518</v>
      </c>
      <c r="AB101" s="923">
        <v>0.496608</v>
      </c>
      <c r="AC101" s="484">
        <f t="shared" si="108"/>
        <v>85.975273</v>
      </c>
      <c r="AD101" s="329">
        <v>0</v>
      </c>
      <c r="AE101" s="253"/>
      <c r="AF101" s="329">
        <v>0</v>
      </c>
      <c r="AG101" s="253"/>
      <c r="AH101" s="253"/>
      <c r="AI101" s="329">
        <v>0</v>
      </c>
      <c r="AJ101" s="485"/>
      <c r="AK101" s="486"/>
      <c r="AL101" s="433">
        <f>Y101+AC101+AG101+AK101</f>
        <v>85.975273</v>
      </c>
      <c r="AM101" s="157"/>
      <c r="AN101" s="331">
        <f t="shared" si="82"/>
        <v>0</v>
      </c>
      <c r="AO101" s="339">
        <v>0</v>
      </c>
      <c r="AP101" s="402">
        <f t="shared" si="86"/>
        <v>0</v>
      </c>
      <c r="AQ101" s="400">
        <f t="shared" si="83"/>
        <v>0</v>
      </c>
      <c r="AR101" s="401">
        <v>0</v>
      </c>
      <c r="AS101" s="400">
        <f t="shared" si="84"/>
        <v>91.26041000000001</v>
      </c>
      <c r="AT101" s="401">
        <v>0</v>
      </c>
      <c r="AU101" s="758">
        <f t="shared" si="89"/>
        <v>25.226865</v>
      </c>
      <c r="AV101" s="847">
        <f t="shared" si="90"/>
        <v>13.651287</v>
      </c>
      <c r="AW101" s="798">
        <f t="shared" si="91"/>
        <v>54.11408433033594</v>
      </c>
      <c r="AX101" s="847">
        <f t="shared" si="92"/>
        <v>66.033545</v>
      </c>
      <c r="AY101" s="905">
        <f t="shared" si="93"/>
        <v>261.7588233813437</v>
      </c>
      <c r="AZ101" s="758">
        <f t="shared" si="94"/>
        <v>85.478665</v>
      </c>
      <c r="BA101" s="903">
        <f t="shared" si="95"/>
        <v>-55.618559000000005</v>
      </c>
      <c r="BB101" s="904">
        <f t="shared" si="96"/>
        <v>-92.31020318065187</v>
      </c>
      <c r="BC101" s="904">
        <f t="shared" si="97"/>
        <v>5.781745000000001</v>
      </c>
      <c r="BD101" s="905">
        <f t="shared" si="98"/>
        <v>6.763962680044202</v>
      </c>
      <c r="BE101" s="968">
        <f t="shared" si="99"/>
        <v>85.975273</v>
      </c>
      <c r="BF101" s="969">
        <f t="shared" si="100"/>
        <v>47.252409</v>
      </c>
      <c r="BG101" s="896"/>
      <c r="BH101" s="970">
        <f t="shared" si="102"/>
        <v>5.285137000000006</v>
      </c>
      <c r="BI101" s="375">
        <f t="shared" si="103"/>
        <v>6.147275624236755</v>
      </c>
    </row>
    <row r="102" spans="2:39" ht="15.75" customHeight="1">
      <c r="B102" s="54"/>
      <c r="C102" s="54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55"/>
      <c r="W102" s="56"/>
      <c r="Z102" s="57"/>
      <c r="AA102" s="58"/>
      <c r="AB102" s="57"/>
      <c r="AC102" s="56"/>
      <c r="AD102" s="19"/>
      <c r="AE102" s="59"/>
      <c r="AF102" s="60"/>
      <c r="AG102" s="61"/>
      <c r="AH102" s="62"/>
      <c r="AI102" s="62"/>
      <c r="AJ102" s="62"/>
      <c r="AK102" s="63"/>
      <c r="AL102" s="64"/>
      <c r="AM102" s="18"/>
    </row>
    <row r="103" spans="2:39" ht="15.75" customHeight="1">
      <c r="B103" s="71"/>
      <c r="C103" s="71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18"/>
      <c r="W103" s="12"/>
      <c r="Z103" s="75"/>
      <c r="AA103" s="15"/>
      <c r="AB103" s="19"/>
      <c r="AE103" s="206"/>
      <c r="AF103" s="19"/>
      <c r="AG103" s="36"/>
      <c r="AI103" s="22"/>
      <c r="AL103" s="197"/>
      <c r="AM103" s="6"/>
    </row>
    <row r="104" spans="2:45" ht="15.75" customHeight="1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25"/>
      <c r="W104" s="12"/>
      <c r="Z104" s="12"/>
      <c r="AA104" s="15"/>
      <c r="AE104" s="3"/>
      <c r="AF104" s="11"/>
      <c r="AG104" s="35"/>
      <c r="AI104" s="22"/>
      <c r="AL104" s="197"/>
      <c r="AP104" s="22"/>
      <c r="AQ104" s="22"/>
      <c r="AR104" s="22"/>
      <c r="AS104" s="22"/>
    </row>
    <row r="105" spans="2:38" ht="18" customHeight="1" hidden="1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19"/>
      <c r="W105" s="12"/>
      <c r="X105" s="12"/>
      <c r="AA105" s="15"/>
      <c r="AD105" s="12"/>
      <c r="AE105" s="24"/>
      <c r="AF105" s="11"/>
      <c r="AG105" s="35"/>
      <c r="AI105" s="22"/>
      <c r="AK105" s="16"/>
      <c r="AL105" s="20"/>
    </row>
    <row r="106" spans="2:39" ht="18" customHeight="1" hidden="1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23"/>
      <c r="W106" s="34"/>
      <c r="Z106" s="25"/>
      <c r="AA106" s="15"/>
      <c r="AE106" s="24"/>
      <c r="AF106" s="11"/>
      <c r="AG106" s="17"/>
      <c r="AI106" s="22"/>
      <c r="AL106" s="21"/>
      <c r="AM106" s="37"/>
    </row>
    <row r="107" spans="2:39" ht="18" customHeight="1" hidden="1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23"/>
      <c r="W107" s="34"/>
      <c r="Z107" s="25"/>
      <c r="AA107" s="15"/>
      <c r="AE107" s="24"/>
      <c r="AF107" s="11"/>
      <c r="AG107" s="17"/>
      <c r="AI107" s="22"/>
      <c r="AL107" s="21"/>
      <c r="AM107" s="45"/>
    </row>
    <row r="108" spans="2:42" ht="15" customHeight="1">
      <c r="B108" s="71"/>
      <c r="C108" s="71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18"/>
      <c r="W108" s="12"/>
      <c r="Z108" s="12"/>
      <c r="AA108" s="15"/>
      <c r="AE108" s="24"/>
      <c r="AF108" s="19"/>
      <c r="AG108" s="36"/>
      <c r="AI108" s="22"/>
      <c r="AL108" s="20"/>
      <c r="AM108" s="6"/>
      <c r="AP108" s="22"/>
    </row>
    <row r="109" spans="2:38" ht="12.75">
      <c r="B109" s="67" t="s">
        <v>108</v>
      </c>
      <c r="C109" s="67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25"/>
      <c r="W109" s="12"/>
      <c r="Z109" s="12"/>
      <c r="AA109" s="15"/>
      <c r="AE109" s="3"/>
      <c r="AF109" s="11"/>
      <c r="AG109" s="35"/>
      <c r="AI109" s="22"/>
      <c r="AL109" s="20"/>
    </row>
    <row r="110" spans="2:38" ht="12.75">
      <c r="B110" s="54" t="s">
        <v>102</v>
      </c>
      <c r="C110" s="54"/>
      <c r="I110" s="891"/>
      <c r="V110" s="19"/>
      <c r="W110" s="12"/>
      <c r="X110" s="12"/>
      <c r="AA110" s="15"/>
      <c r="AD110" s="12"/>
      <c r="AE110" s="24"/>
      <c r="AF110" s="11"/>
      <c r="AG110" s="35"/>
      <c r="AI110" s="22"/>
      <c r="AK110" s="16"/>
      <c r="AL110" s="20"/>
    </row>
    <row r="111" spans="4:38" ht="15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Y111" s="26"/>
      <c r="AA111" s="15"/>
      <c r="AD111" s="14"/>
      <c r="AF111" s="46"/>
      <c r="AG111" s="28"/>
      <c r="AL111" s="27"/>
    </row>
    <row r="112" spans="26:35" ht="12.75">
      <c r="Z112" s="15"/>
      <c r="AA112" s="15"/>
      <c r="AF112" s="7"/>
      <c r="AG112" s="7"/>
      <c r="AI112" s="81"/>
    </row>
    <row r="113" spans="1:36" ht="12.75">
      <c r="A113" s="1"/>
      <c r="B113" s="10"/>
      <c r="C113" s="10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AA113" s="15"/>
      <c r="AE113" s="36"/>
      <c r="AF113" s="39"/>
      <c r="AG113" s="7"/>
      <c r="AI113" s="22"/>
      <c r="AJ113" s="20"/>
    </row>
    <row r="114" spans="1:35" ht="12.75">
      <c r="A114" s="1"/>
      <c r="B114" s="10"/>
      <c r="C114" s="10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AA114" s="15"/>
      <c r="AF114" s="7"/>
      <c r="AG114" s="7"/>
      <c r="AH114" s="7"/>
      <c r="AI114" s="81"/>
    </row>
    <row r="115" spans="26:34" ht="15">
      <c r="Z115" s="14"/>
      <c r="AB115" s="6"/>
      <c r="AC115" s="6"/>
      <c r="AF115" s="79"/>
      <c r="AG115" s="7"/>
      <c r="AH115" s="7"/>
    </row>
    <row r="116" spans="29:35" ht="12.75">
      <c r="AC116" s="6"/>
      <c r="AF116" s="7"/>
      <c r="AG116" s="7"/>
      <c r="AH116" s="7"/>
      <c r="AI116" s="22"/>
    </row>
    <row r="117" spans="24:37" ht="15">
      <c r="X117" s="31"/>
      <c r="Z117" s="6"/>
      <c r="AC117" s="6"/>
      <c r="AF117" s="7"/>
      <c r="AG117" s="41"/>
      <c r="AH117" s="7"/>
      <c r="AK117" s="29"/>
    </row>
    <row r="118" spans="24:34" ht="15">
      <c r="X118" s="31"/>
      <c r="Z118" s="6"/>
      <c r="AC118" s="6"/>
      <c r="AF118" s="7"/>
      <c r="AG118" s="42"/>
      <c r="AH118" s="7"/>
    </row>
    <row r="119" spans="24:34" ht="12" customHeight="1">
      <c r="X119" s="31"/>
      <c r="Z119" s="6"/>
      <c r="AC119" s="6"/>
      <c r="AF119" s="7"/>
      <c r="AG119" s="43"/>
      <c r="AH119" s="7"/>
    </row>
    <row r="120" spans="24:38" ht="12.75">
      <c r="X120" s="31"/>
      <c r="Z120" s="6"/>
      <c r="AB120" s="32"/>
      <c r="AC120" s="33"/>
      <c r="AF120" s="11"/>
      <c r="AG120" s="7"/>
      <c r="AH120" s="7"/>
      <c r="AL120" s="30"/>
    </row>
    <row r="121" spans="24:34" ht="18">
      <c r="X121" s="31"/>
      <c r="Z121" s="6"/>
      <c r="AF121" s="7"/>
      <c r="AG121" s="38"/>
      <c r="AH121" s="7"/>
    </row>
    <row r="122" spans="24:34" ht="15">
      <c r="X122" s="31"/>
      <c r="Z122" s="6"/>
      <c r="AF122" s="44"/>
      <c r="AG122" s="7"/>
      <c r="AH122" s="47"/>
    </row>
    <row r="123" spans="24:34" ht="12.75">
      <c r="X123" s="31"/>
      <c r="Z123" s="6"/>
      <c r="AF123" s="7"/>
      <c r="AG123" s="7"/>
      <c r="AH123" s="7"/>
    </row>
    <row r="124" spans="24:34" ht="12" customHeight="1">
      <c r="X124" s="31"/>
      <c r="Z124" s="6"/>
      <c r="AF124" s="7"/>
      <c r="AH124" s="7"/>
    </row>
    <row r="125" spans="24:34" ht="15">
      <c r="X125" s="31"/>
      <c r="Z125" s="6"/>
      <c r="AF125" s="40"/>
      <c r="AH125" s="7"/>
    </row>
    <row r="126" spans="24:32" ht="12.75">
      <c r="X126" s="31"/>
      <c r="Z126" s="6"/>
      <c r="AF126" s="7"/>
    </row>
    <row r="127" spans="24:32" ht="12.75">
      <c r="X127" s="31"/>
      <c r="Z127" s="6"/>
      <c r="AF127" s="7"/>
    </row>
    <row r="128" spans="24:26" ht="12.75">
      <c r="X128" s="31"/>
      <c r="Z128" s="6"/>
    </row>
    <row r="129" spans="24:26" ht="12.75">
      <c r="X129" s="31"/>
      <c r="Z129" s="6"/>
    </row>
    <row r="130" spans="24:26" ht="12.75">
      <c r="X130" s="31"/>
      <c r="Z130" s="6"/>
    </row>
    <row r="131" spans="24:26" ht="12.75">
      <c r="X131" s="31"/>
      <c r="Z131" s="6"/>
    </row>
    <row r="132" spans="24:26" ht="12.75">
      <c r="X132" s="31"/>
      <c r="Z132" s="6"/>
    </row>
    <row r="133" spans="24:26" ht="12.75">
      <c r="X133" s="31"/>
      <c r="Z133" s="6"/>
    </row>
    <row r="134" spans="24:26" ht="12.75">
      <c r="X134" s="31"/>
      <c r="Z134" s="6"/>
    </row>
    <row r="135" spans="24:26" ht="12.75">
      <c r="X135" s="31"/>
      <c r="Z135" s="6"/>
    </row>
    <row r="136" spans="24:26" ht="12.75">
      <c r="X136" s="31"/>
      <c r="Z136" s="6"/>
    </row>
    <row r="137" spans="24:27" ht="12.75">
      <c r="X137" s="31"/>
      <c r="Z137" s="6"/>
      <c r="AA137" s="6"/>
    </row>
    <row r="138" spans="24:26" ht="12.75">
      <c r="X138" s="31"/>
      <c r="Z138" s="6"/>
    </row>
    <row r="139" spans="24:26" ht="12.75">
      <c r="X139" s="31"/>
      <c r="Z139" s="6"/>
    </row>
    <row r="140" spans="24:26" ht="12.75">
      <c r="X140" s="31"/>
      <c r="Z140" s="6"/>
    </row>
    <row r="141" spans="24:26" ht="12.75">
      <c r="X141" s="31"/>
      <c r="Z141" s="6"/>
    </row>
    <row r="142" spans="24:26" ht="12.75">
      <c r="X142" s="31"/>
      <c r="Z142" s="6"/>
    </row>
    <row r="143" spans="24:26" ht="12.75">
      <c r="X143" s="31"/>
      <c r="Z143" s="6"/>
    </row>
    <row r="144" spans="24:26" ht="12.75">
      <c r="X144" s="31"/>
      <c r="Z144" s="6"/>
    </row>
    <row r="145" spans="24:26" ht="12.75">
      <c r="X145" s="31"/>
      <c r="Z145" s="6"/>
    </row>
    <row r="146" spans="24:26" ht="12.75">
      <c r="X146" s="31"/>
      <c r="Z146" s="6"/>
    </row>
    <row r="147" ht="12.75">
      <c r="Z147" s="6"/>
    </row>
    <row r="148" ht="12.75">
      <c r="Z148" s="6"/>
    </row>
    <row r="149" ht="12.75">
      <c r="Z149" s="6"/>
    </row>
    <row r="150" ht="12.75">
      <c r="Z150" s="6"/>
    </row>
    <row r="151" ht="12.75">
      <c r="Z151" s="6"/>
    </row>
    <row r="152" ht="12.75">
      <c r="Z152" s="6"/>
    </row>
  </sheetData>
  <sheetProtection/>
  <mergeCells count="21">
    <mergeCell ref="B95:D95"/>
    <mergeCell ref="AN5:AO5"/>
    <mergeCell ref="B4:D6"/>
    <mergeCell ref="B31:D31"/>
    <mergeCell ref="B8:D8"/>
    <mergeCell ref="AV5:AW5"/>
    <mergeCell ref="A1:AT1"/>
    <mergeCell ref="A2:AT2"/>
    <mergeCell ref="AQ5:AR5"/>
    <mergeCell ref="AS5:AT5"/>
    <mergeCell ref="F4:U4"/>
    <mergeCell ref="AX5:AY5"/>
    <mergeCell ref="BF4:BG4"/>
    <mergeCell ref="Z4:BE4"/>
    <mergeCell ref="B66:D66"/>
    <mergeCell ref="B21:D21"/>
    <mergeCell ref="BH4:BI4"/>
    <mergeCell ref="BF5:BG5"/>
    <mergeCell ref="BH5:BI5"/>
    <mergeCell ref="BA5:BB5"/>
    <mergeCell ref="BC5:BD5"/>
  </mergeCells>
  <printOptions horizontalCentered="1"/>
  <pageMargins left="0.15748031496062992" right="0" top="0" bottom="0" header="0" footer="0"/>
  <pageSetup horizontalDpi="600" verticalDpi="600" orientation="landscape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9"/>
  <sheetViews>
    <sheetView tabSelected="1" zoomScalePageLayoutView="0" workbookViewId="0" topLeftCell="A1">
      <selection activeCell="O16" sqref="O16:O17"/>
    </sheetView>
  </sheetViews>
  <sheetFormatPr defaultColWidth="12.125" defaultRowHeight="12.75"/>
  <cols>
    <col min="1" max="1" width="5.00390625" style="9" customWidth="1"/>
    <col min="2" max="2" width="7.25390625" style="1" customWidth="1"/>
    <col min="3" max="3" width="9.125" style="1" customWidth="1"/>
    <col min="4" max="4" width="95.25390625" style="10" customWidth="1"/>
    <col min="5" max="5" width="15.375" style="10" customWidth="1"/>
    <col min="6" max="6" width="12.625" style="10" customWidth="1"/>
    <col min="7" max="7" width="12.875" style="2" customWidth="1"/>
    <col min="8" max="8" width="14.125" style="2" customWidth="1"/>
    <col min="9" max="9" width="12.125" style="2" customWidth="1"/>
    <col min="10" max="10" width="13.125" style="2" bestFit="1" customWidth="1"/>
    <col min="11" max="11" width="12.125" style="2" customWidth="1"/>
    <col min="12" max="34" width="12.125" style="48" customWidth="1"/>
    <col min="35" max="16384" width="12.125" style="2" customWidth="1"/>
  </cols>
  <sheetData>
    <row r="1" ht="15.75" customHeight="1">
      <c r="F1" s="981"/>
    </row>
    <row r="2" spans="1:34" s="1" customFormat="1" ht="21" customHeight="1">
      <c r="A2" s="1063" t="s">
        <v>0</v>
      </c>
      <c r="B2" s="1063"/>
      <c r="C2" s="1063"/>
      <c r="D2" s="1063"/>
      <c r="E2" s="1063"/>
      <c r="F2" s="1063"/>
      <c r="G2" s="1063"/>
      <c r="H2" s="1063"/>
      <c r="I2" s="1063"/>
      <c r="J2" s="1063"/>
      <c r="K2" s="1063"/>
      <c r="L2" s="1063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</row>
    <row r="3" spans="1:34" s="1" customFormat="1" ht="16.5" customHeight="1">
      <c r="A3" s="1064" t="s">
        <v>12</v>
      </c>
      <c r="B3" s="1064"/>
      <c r="C3" s="1064"/>
      <c r="D3" s="1064"/>
      <c r="E3" s="1064"/>
      <c r="F3" s="1064"/>
      <c r="G3" s="1064"/>
      <c r="H3" s="1064"/>
      <c r="I3" s="1064"/>
      <c r="J3" s="1064"/>
      <c r="K3" s="1064"/>
      <c r="L3" s="1064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</row>
    <row r="4" spans="1:34" s="1" customFormat="1" ht="9" customHeight="1" thickBot="1">
      <c r="A4" s="74"/>
      <c r="B4" s="74"/>
      <c r="C4" s="74"/>
      <c r="D4" s="74"/>
      <c r="E4" s="74"/>
      <c r="F4" s="74"/>
      <c r="G4" s="74"/>
      <c r="H4" s="80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s="1" customFormat="1" ht="19.5" customHeight="1" thickBot="1">
      <c r="A5" s="50"/>
      <c r="B5" s="1070" t="s">
        <v>129</v>
      </c>
      <c r="C5" s="1071"/>
      <c r="D5" s="1071"/>
      <c r="E5" s="1084" t="s">
        <v>130</v>
      </c>
      <c r="F5" s="1085"/>
      <c r="G5" s="1046" t="s">
        <v>115</v>
      </c>
      <c r="H5" s="1046"/>
      <c r="I5" s="1079" t="s">
        <v>91</v>
      </c>
      <c r="J5" s="1080"/>
      <c r="K5" s="1080"/>
      <c r="L5" s="1081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1:12" ht="34.5" customHeight="1">
      <c r="A6" s="76" t="s">
        <v>5</v>
      </c>
      <c r="B6" s="1073"/>
      <c r="C6" s="1074"/>
      <c r="D6" s="1075"/>
      <c r="E6" s="1013" t="s">
        <v>106</v>
      </c>
      <c r="F6" s="989" t="s">
        <v>107</v>
      </c>
      <c r="G6" s="1013" t="s">
        <v>106</v>
      </c>
      <c r="H6" s="989" t="s">
        <v>107</v>
      </c>
      <c r="I6" s="1082" t="s">
        <v>183</v>
      </c>
      <c r="J6" s="1083"/>
      <c r="K6" s="1065" t="s">
        <v>184</v>
      </c>
      <c r="L6" s="1066"/>
    </row>
    <row r="7" spans="1:12" ht="37.5" customHeight="1" thickBot="1">
      <c r="A7" s="77" t="s">
        <v>1</v>
      </c>
      <c r="B7" s="1073"/>
      <c r="C7" s="1074"/>
      <c r="D7" s="1075"/>
      <c r="E7" s="954" t="s">
        <v>103</v>
      </c>
      <c r="F7" s="988" t="s">
        <v>103</v>
      </c>
      <c r="G7" s="954" t="s">
        <v>103</v>
      </c>
      <c r="H7" s="1017" t="s">
        <v>103</v>
      </c>
      <c r="I7" s="344" t="s">
        <v>141</v>
      </c>
      <c r="J7" s="345" t="s">
        <v>142</v>
      </c>
      <c r="K7" s="548" t="s">
        <v>143</v>
      </c>
      <c r="L7" s="345" t="s">
        <v>144</v>
      </c>
    </row>
    <row r="8" spans="1:12" ht="12" customHeight="1" hidden="1">
      <c r="A8" s="77"/>
      <c r="B8" s="52"/>
      <c r="D8" s="602"/>
      <c r="E8" s="273"/>
      <c r="F8" s="392"/>
      <c r="G8" s="1014"/>
      <c r="H8" s="84"/>
      <c r="I8" s="343"/>
      <c r="J8" s="716"/>
      <c r="K8" s="7"/>
      <c r="L8" s="716"/>
    </row>
    <row r="9" spans="1:12" ht="13.5" customHeight="1" thickBot="1">
      <c r="A9" s="69">
        <v>1</v>
      </c>
      <c r="B9" s="1076">
        <v>2</v>
      </c>
      <c r="C9" s="1077"/>
      <c r="D9" s="1078"/>
      <c r="E9" s="729">
        <v>3</v>
      </c>
      <c r="F9" s="393">
        <v>4</v>
      </c>
      <c r="G9" s="114">
        <v>5</v>
      </c>
      <c r="H9" s="986">
        <v>6</v>
      </c>
      <c r="I9" s="362">
        <v>7</v>
      </c>
      <c r="J9" s="363">
        <v>8</v>
      </c>
      <c r="K9" s="550">
        <v>9</v>
      </c>
      <c r="L9" s="363">
        <v>10</v>
      </c>
    </row>
    <row r="10" spans="1:34" s="65" customFormat="1" ht="19.5" customHeight="1">
      <c r="A10" s="590">
        <v>1</v>
      </c>
      <c r="B10" s="625" t="s">
        <v>18</v>
      </c>
      <c r="C10" s="504"/>
      <c r="D10" s="626"/>
      <c r="E10" s="1015">
        <v>700.581985</v>
      </c>
      <c r="F10" s="787">
        <v>7315.207187</v>
      </c>
      <c r="G10" s="1015">
        <v>733.569685</v>
      </c>
      <c r="H10" s="1019">
        <v>7798.187056</v>
      </c>
      <c r="I10" s="794">
        <v>-32.98770000000002</v>
      </c>
      <c r="J10" s="375">
        <v>-4.496873395197625</v>
      </c>
      <c r="K10" s="987">
        <v>-482.9798689999998</v>
      </c>
      <c r="L10" s="375">
        <v>-6.193489147306238</v>
      </c>
      <c r="M10" s="990"/>
      <c r="N10" s="990"/>
      <c r="O10" s="990"/>
      <c r="P10" s="990"/>
      <c r="Q10" s="990"/>
      <c r="R10" s="990"/>
      <c r="S10" s="990"/>
      <c r="T10" s="990"/>
      <c r="U10" s="990"/>
      <c r="V10" s="990"/>
      <c r="W10" s="990"/>
      <c r="X10" s="990"/>
      <c r="Y10" s="990"/>
      <c r="Z10" s="990"/>
      <c r="AA10" s="990"/>
      <c r="AB10" s="990"/>
      <c r="AC10" s="990"/>
      <c r="AD10" s="990"/>
      <c r="AE10" s="990"/>
      <c r="AF10" s="990"/>
      <c r="AG10" s="990"/>
      <c r="AH10" s="990"/>
    </row>
    <row r="11" spans="1:12" ht="18.75" customHeight="1">
      <c r="A11" s="406"/>
      <c r="B11" s="627">
        <v>1.1</v>
      </c>
      <c r="C11" s="174"/>
      <c r="D11" s="628" t="s">
        <v>14</v>
      </c>
      <c r="E11" s="117">
        <v>174.224821</v>
      </c>
      <c r="F11" s="739">
        <v>2380.4663649999998</v>
      </c>
      <c r="G11" s="117">
        <v>284.095614</v>
      </c>
      <c r="H11" s="739">
        <v>2787.67356</v>
      </c>
      <c r="I11" s="1010">
        <v>-109.87079300000002</v>
      </c>
      <c r="J11" s="709">
        <v>-38.67387864706705</v>
      </c>
      <c r="K11" s="1025">
        <v>-407.2071950000004</v>
      </c>
      <c r="L11" s="709">
        <v>-14.607420353766258</v>
      </c>
    </row>
    <row r="12" spans="1:12" ht="14.25" customHeight="1">
      <c r="A12" s="406"/>
      <c r="B12" s="629" t="s">
        <v>19</v>
      </c>
      <c r="C12" s="175"/>
      <c r="D12" s="630" t="s">
        <v>20</v>
      </c>
      <c r="E12" s="117">
        <v>346.495207</v>
      </c>
      <c r="F12" s="739">
        <v>2563.525448</v>
      </c>
      <c r="G12" s="117">
        <v>292.885605</v>
      </c>
      <c r="H12" s="739">
        <v>2779.738508</v>
      </c>
      <c r="I12" s="1010">
        <v>53.609601999999995</v>
      </c>
      <c r="J12" s="709">
        <v>18.303938836461413</v>
      </c>
      <c r="K12" s="1025">
        <v>-216.21306000000004</v>
      </c>
      <c r="L12" s="709">
        <v>-7.778179831582918</v>
      </c>
    </row>
    <row r="13" spans="1:12" ht="18" customHeight="1">
      <c r="A13" s="407"/>
      <c r="B13" s="631"/>
      <c r="C13" s="437" t="s">
        <v>21</v>
      </c>
      <c r="D13" s="632" t="s">
        <v>15</v>
      </c>
      <c r="E13" s="734">
        <v>75.275592</v>
      </c>
      <c r="F13" s="739">
        <v>441.38791200000003</v>
      </c>
      <c r="G13" s="734">
        <v>66.398855</v>
      </c>
      <c r="H13" s="739">
        <v>546.777701</v>
      </c>
      <c r="I13" s="1010">
        <v>8.876737000000006</v>
      </c>
      <c r="J13" s="709">
        <v>13.368810350720665</v>
      </c>
      <c r="K13" s="1025">
        <v>-105.38978899999995</v>
      </c>
      <c r="L13" s="709">
        <v>-19.274705023129684</v>
      </c>
    </row>
    <row r="14" spans="1:12" ht="14.25" customHeight="1">
      <c r="A14" s="407"/>
      <c r="B14" s="633"/>
      <c r="C14" s="176" t="s">
        <v>22</v>
      </c>
      <c r="D14" s="634" t="s">
        <v>110</v>
      </c>
      <c r="E14" s="734">
        <v>114.379125</v>
      </c>
      <c r="F14" s="200">
        <v>694.8238050000001</v>
      </c>
      <c r="G14" s="734">
        <v>77.19561</v>
      </c>
      <c r="H14" s="200">
        <v>638.36835</v>
      </c>
      <c r="I14" s="1010">
        <v>37.183515</v>
      </c>
      <c r="J14" s="709">
        <v>48.16791395261984</v>
      </c>
      <c r="K14" s="1025">
        <v>56.45545500000014</v>
      </c>
      <c r="L14" s="709">
        <v>8.843711471597885</v>
      </c>
    </row>
    <row r="15" spans="1:12" ht="19.5" customHeight="1" hidden="1">
      <c r="A15" s="407"/>
      <c r="B15" s="635"/>
      <c r="C15" s="492" t="s">
        <v>23</v>
      </c>
      <c r="D15" s="636" t="s">
        <v>16</v>
      </c>
      <c r="E15" s="117"/>
      <c r="F15" s="739">
        <v>0</v>
      </c>
      <c r="G15" s="117">
        <v>0</v>
      </c>
      <c r="H15" s="739">
        <v>0</v>
      </c>
      <c r="I15" s="1010">
        <v>0</v>
      </c>
      <c r="J15" s="709" t="e">
        <v>#DIV/0!</v>
      </c>
      <c r="K15" s="1025">
        <v>0</v>
      </c>
      <c r="L15" s="709" t="e">
        <v>#DIV/0!</v>
      </c>
    </row>
    <row r="16" spans="1:12" ht="14.25" customHeight="1">
      <c r="A16" s="407"/>
      <c r="B16" s="633"/>
      <c r="C16" s="199" t="s">
        <v>23</v>
      </c>
      <c r="D16" s="637" t="s">
        <v>17</v>
      </c>
      <c r="E16" s="117">
        <v>156.84049</v>
      </c>
      <c r="F16" s="739">
        <v>1427.313731</v>
      </c>
      <c r="G16" s="117">
        <v>149.29114</v>
      </c>
      <c r="H16" s="739">
        <v>1594.592457</v>
      </c>
      <c r="I16" s="1010">
        <v>7.549349999999976</v>
      </c>
      <c r="J16" s="709">
        <v>5.056797074494824</v>
      </c>
      <c r="K16" s="1025">
        <v>-167.278726</v>
      </c>
      <c r="L16" s="709">
        <v>-10.49037484566503</v>
      </c>
    </row>
    <row r="17" spans="1:12" s="48" customFormat="1" ht="15" customHeight="1">
      <c r="A17" s="591"/>
      <c r="B17" s="638" t="s">
        <v>24</v>
      </c>
      <c r="C17" s="410"/>
      <c r="D17" s="639" t="s">
        <v>25</v>
      </c>
      <c r="E17" s="730">
        <v>179.86195700000002</v>
      </c>
      <c r="F17" s="726">
        <v>2371.215374</v>
      </c>
      <c r="G17" s="755">
        <v>156.588466</v>
      </c>
      <c r="H17" s="200">
        <v>2230.774988</v>
      </c>
      <c r="I17" s="1010">
        <v>23.273491000000007</v>
      </c>
      <c r="J17" s="709">
        <v>14.862838620566095</v>
      </c>
      <c r="K17" s="1025">
        <v>140.44038599999976</v>
      </c>
      <c r="L17" s="709">
        <v>6.295587262519533</v>
      </c>
    </row>
    <row r="18" spans="1:12" ht="15.75" customHeight="1">
      <c r="A18" s="407"/>
      <c r="B18" s="49"/>
      <c r="C18" s="199" t="s">
        <v>26</v>
      </c>
      <c r="D18" s="640" t="s">
        <v>3</v>
      </c>
      <c r="E18" s="734">
        <v>11.557073</v>
      </c>
      <c r="F18" s="739">
        <v>405.46387400000003</v>
      </c>
      <c r="G18" s="734">
        <v>15.582189</v>
      </c>
      <c r="H18" s="739">
        <v>453.3748969999999</v>
      </c>
      <c r="I18" s="1010">
        <v>-4.025115999999999</v>
      </c>
      <c r="J18" s="709">
        <v>-25.83151828026216</v>
      </c>
      <c r="K18" s="1025">
        <v>-47.91102299999989</v>
      </c>
      <c r="L18" s="709">
        <v>-10.56763912537484</v>
      </c>
    </row>
    <row r="19" spans="1:12" ht="18" customHeight="1">
      <c r="A19" s="406"/>
      <c r="B19" s="378"/>
      <c r="C19" s="198" t="s">
        <v>27</v>
      </c>
      <c r="D19" s="641" t="s">
        <v>145</v>
      </c>
      <c r="E19" s="117">
        <v>117.821765</v>
      </c>
      <c r="F19" s="739">
        <v>988.318887</v>
      </c>
      <c r="G19" s="117">
        <v>92.994618</v>
      </c>
      <c r="H19" s="739">
        <v>915.897948</v>
      </c>
      <c r="I19" s="1010">
        <v>24.827146999999997</v>
      </c>
      <c r="J19" s="709">
        <v>26.69740199373689</v>
      </c>
      <c r="K19" s="1025">
        <v>72.42093899999998</v>
      </c>
      <c r="L19" s="709">
        <v>7.907096981507806</v>
      </c>
    </row>
    <row r="20" spans="1:12" s="48" customFormat="1" ht="21" customHeight="1" hidden="1">
      <c r="A20" s="591"/>
      <c r="B20" s="642"/>
      <c r="C20" s="450" t="s">
        <v>122</v>
      </c>
      <c r="D20" s="643" t="s">
        <v>150</v>
      </c>
      <c r="E20" s="755"/>
      <c r="F20" s="200">
        <v>0</v>
      </c>
      <c r="G20" s="755">
        <v>0</v>
      </c>
      <c r="H20" s="200">
        <v>0</v>
      </c>
      <c r="I20" s="1010">
        <v>0</v>
      </c>
      <c r="J20" s="709" t="e">
        <v>#DIV/0!</v>
      </c>
      <c r="K20" s="1025">
        <v>0</v>
      </c>
      <c r="L20" s="709" t="e">
        <v>#DIV/0!</v>
      </c>
    </row>
    <row r="21" spans="1:12" ht="14.25" customHeight="1">
      <c r="A21" s="407"/>
      <c r="B21" s="265"/>
      <c r="C21" s="199" t="s">
        <v>122</v>
      </c>
      <c r="D21" s="640" t="s">
        <v>37</v>
      </c>
      <c r="E21" s="117">
        <v>50.483119</v>
      </c>
      <c r="F21" s="739">
        <v>977.432613</v>
      </c>
      <c r="G21" s="117">
        <v>48.011659</v>
      </c>
      <c r="H21" s="739">
        <v>861.502143</v>
      </c>
      <c r="I21" s="1010">
        <v>2.4714600000000004</v>
      </c>
      <c r="J21" s="709">
        <v>5.147624663417687</v>
      </c>
      <c r="K21" s="1025">
        <v>115.9304699999999</v>
      </c>
      <c r="L21" s="709">
        <v>13.4567825445328</v>
      </c>
    </row>
    <row r="22" spans="1:34" s="65" customFormat="1" ht="18.75" customHeight="1">
      <c r="A22" s="592">
        <v>2</v>
      </c>
      <c r="B22" s="1051" t="s">
        <v>4</v>
      </c>
      <c r="C22" s="1052"/>
      <c r="D22" s="1053"/>
      <c r="E22" s="731">
        <v>27.49456</v>
      </c>
      <c r="F22" s="727">
        <v>299.938459</v>
      </c>
      <c r="G22" s="158">
        <v>33.108639</v>
      </c>
      <c r="H22" s="724">
        <v>333.172673</v>
      </c>
      <c r="I22" s="796">
        <v>-5.614078999999997</v>
      </c>
      <c r="J22" s="797">
        <v>-16.95653814099697</v>
      </c>
      <c r="K22" s="1026">
        <v>-33.23421399999995</v>
      </c>
      <c r="L22" s="797">
        <v>-9.975071995175284</v>
      </c>
      <c r="M22" s="990"/>
      <c r="N22" s="990"/>
      <c r="O22" s="990"/>
      <c r="P22" s="990"/>
      <c r="Q22" s="990"/>
      <c r="R22" s="990"/>
      <c r="S22" s="990"/>
      <c r="T22" s="990"/>
      <c r="U22" s="990"/>
      <c r="V22" s="990"/>
      <c r="W22" s="990"/>
      <c r="X22" s="990"/>
      <c r="Y22" s="990"/>
      <c r="Z22" s="990"/>
      <c r="AA22" s="990"/>
      <c r="AB22" s="990"/>
      <c r="AC22" s="990"/>
      <c r="AD22" s="990"/>
      <c r="AE22" s="990"/>
      <c r="AF22" s="990"/>
      <c r="AG22" s="990"/>
      <c r="AH22" s="990"/>
    </row>
    <row r="23" spans="1:12" ht="15.75" customHeight="1">
      <c r="A23" s="406"/>
      <c r="B23" s="447" t="s">
        <v>29</v>
      </c>
      <c r="C23" s="177"/>
      <c r="D23" s="644" t="s">
        <v>14</v>
      </c>
      <c r="E23" s="117">
        <v>12.291543</v>
      </c>
      <c r="F23" s="739">
        <v>181.52218299999998</v>
      </c>
      <c r="G23" s="117">
        <v>20.334637</v>
      </c>
      <c r="H23" s="739">
        <v>211.791901</v>
      </c>
      <c r="I23" s="1010">
        <v>-8.043094</v>
      </c>
      <c r="J23" s="709">
        <v>-39.55366402655724</v>
      </c>
      <c r="K23" s="1025">
        <v>-30.26971800000001</v>
      </c>
      <c r="L23" s="709">
        <v>-14.292198076072808</v>
      </c>
    </row>
    <row r="24" spans="1:12" ht="12.75" customHeight="1">
      <c r="A24" s="407"/>
      <c r="B24" s="448" t="s">
        <v>30</v>
      </c>
      <c r="C24" s="176"/>
      <c r="D24" s="640" t="s">
        <v>15</v>
      </c>
      <c r="E24" s="117">
        <v>4.709741</v>
      </c>
      <c r="F24" s="739">
        <v>29.756376</v>
      </c>
      <c r="G24" s="117">
        <v>4.586057</v>
      </c>
      <c r="H24" s="739">
        <v>34.973211</v>
      </c>
      <c r="I24" s="1010">
        <v>0.1236839999999999</v>
      </c>
      <c r="J24" s="709">
        <v>2.6969573208531727</v>
      </c>
      <c r="K24" s="1025">
        <v>-5.216835</v>
      </c>
      <c r="L24" s="709">
        <v>-14.916660068759484</v>
      </c>
    </row>
    <row r="25" spans="1:12" ht="13.5" customHeight="1">
      <c r="A25" s="407"/>
      <c r="B25" s="448" t="s">
        <v>31</v>
      </c>
      <c r="C25" s="176"/>
      <c r="D25" s="634" t="s">
        <v>110</v>
      </c>
      <c r="E25" s="117">
        <v>4.297166</v>
      </c>
      <c r="F25" s="739">
        <v>24.603784000000005</v>
      </c>
      <c r="G25" s="117">
        <v>2.488714</v>
      </c>
      <c r="H25" s="739">
        <v>20.042675</v>
      </c>
      <c r="I25" s="1010">
        <v>1.808452</v>
      </c>
      <c r="J25" s="709">
        <v>72.66612394995971</v>
      </c>
      <c r="K25" s="1025">
        <v>4.561109000000005</v>
      </c>
      <c r="L25" s="709">
        <v>22.756987278394746</v>
      </c>
    </row>
    <row r="26" spans="1:12" ht="16.5" customHeight="1" hidden="1">
      <c r="A26" s="407"/>
      <c r="B26" s="448" t="s">
        <v>32</v>
      </c>
      <c r="C26" s="176"/>
      <c r="D26" s="640" t="s">
        <v>16</v>
      </c>
      <c r="E26" s="117"/>
      <c r="F26" s="739">
        <v>0</v>
      </c>
      <c r="G26" s="117">
        <v>0</v>
      </c>
      <c r="H26" s="739">
        <v>0</v>
      </c>
      <c r="I26" s="1010">
        <v>0</v>
      </c>
      <c r="J26" s="709" t="e">
        <v>#DIV/0!</v>
      </c>
      <c r="K26" s="1025">
        <v>0</v>
      </c>
      <c r="L26" s="709" t="e">
        <v>#DIV/0!</v>
      </c>
    </row>
    <row r="27" spans="1:12" ht="14.25" customHeight="1">
      <c r="A27" s="407"/>
      <c r="B27" s="448" t="s">
        <v>32</v>
      </c>
      <c r="C27" s="199"/>
      <c r="D27" s="645" t="s">
        <v>17</v>
      </c>
      <c r="E27" s="117">
        <v>4.528916</v>
      </c>
      <c r="F27" s="739">
        <v>39.940409</v>
      </c>
      <c r="G27" s="117">
        <v>4.251766</v>
      </c>
      <c r="H27" s="739">
        <v>45.774333</v>
      </c>
      <c r="I27" s="1010">
        <v>0.2771499999999998</v>
      </c>
      <c r="J27" s="709">
        <v>6.518467855474626</v>
      </c>
      <c r="K27" s="1025">
        <v>-5.833923999999996</v>
      </c>
      <c r="L27" s="709">
        <v>-12.744967796690773</v>
      </c>
    </row>
    <row r="28" spans="1:12" ht="12.75" customHeight="1">
      <c r="A28" s="407"/>
      <c r="B28" s="448" t="s">
        <v>33</v>
      </c>
      <c r="C28" s="199"/>
      <c r="D28" s="640" t="s">
        <v>3</v>
      </c>
      <c r="E28" s="117">
        <v>0.150152</v>
      </c>
      <c r="F28" s="739">
        <v>1.875241</v>
      </c>
      <c r="G28" s="117">
        <v>0.088706</v>
      </c>
      <c r="H28" s="739">
        <v>1.745746</v>
      </c>
      <c r="I28" s="1010">
        <v>0.061446000000000014</v>
      </c>
      <c r="J28" s="709">
        <v>69.26927152616511</v>
      </c>
      <c r="K28" s="1025">
        <v>0.12949499999999992</v>
      </c>
      <c r="L28" s="709">
        <v>7.417745765993459</v>
      </c>
    </row>
    <row r="29" spans="1:12" ht="16.5" customHeight="1">
      <c r="A29" s="406"/>
      <c r="B29" s="447" t="s">
        <v>34</v>
      </c>
      <c r="C29" s="198"/>
      <c r="D29" s="641" t="s">
        <v>146</v>
      </c>
      <c r="E29" s="117">
        <v>0.19799</v>
      </c>
      <c r="F29" s="739">
        <v>1.735786</v>
      </c>
      <c r="G29" s="440">
        <v>0.161359</v>
      </c>
      <c r="H29" s="1020">
        <v>1.6474389999999999</v>
      </c>
      <c r="I29" s="1010">
        <v>0.036631</v>
      </c>
      <c r="J29" s="709">
        <v>22.7015536784437</v>
      </c>
      <c r="K29" s="1025">
        <v>0.08834700000000018</v>
      </c>
      <c r="L29" s="709">
        <v>5.362687176884862</v>
      </c>
    </row>
    <row r="30" spans="1:12" s="48" customFormat="1" ht="16.5" customHeight="1" hidden="1">
      <c r="A30" s="591"/>
      <c r="B30" s="646" t="s">
        <v>35</v>
      </c>
      <c r="C30" s="450"/>
      <c r="D30" s="643" t="s">
        <v>150</v>
      </c>
      <c r="E30" s="916"/>
      <c r="F30" s="200">
        <v>0</v>
      </c>
      <c r="G30" s="755"/>
      <c r="H30" s="510">
        <v>0</v>
      </c>
      <c r="I30" s="1010">
        <v>0</v>
      </c>
      <c r="J30" s="709" t="e">
        <v>#DIV/0!</v>
      </c>
      <c r="K30" s="1025">
        <v>0</v>
      </c>
      <c r="L30" s="709" t="e">
        <v>#DIV/0!</v>
      </c>
    </row>
    <row r="31" spans="1:12" ht="12.75" customHeight="1">
      <c r="A31" s="407"/>
      <c r="B31" s="448" t="s">
        <v>35</v>
      </c>
      <c r="C31" s="199"/>
      <c r="D31" s="640" t="s">
        <v>37</v>
      </c>
      <c r="E31" s="117">
        <v>1.319052</v>
      </c>
      <c r="F31" s="739">
        <v>20.50468</v>
      </c>
      <c r="G31" s="117">
        <v>1.1974</v>
      </c>
      <c r="H31" s="747">
        <v>17.197367999999997</v>
      </c>
      <c r="I31" s="1010">
        <v>0.12165199999999987</v>
      </c>
      <c r="J31" s="709">
        <v>10.159679305161177</v>
      </c>
      <c r="K31" s="1025">
        <v>3.307312000000003</v>
      </c>
      <c r="L31" s="709">
        <v>19.231501006433092</v>
      </c>
    </row>
    <row r="32" spans="1:34" s="66" customFormat="1" ht="32.25" customHeight="1">
      <c r="A32" s="592">
        <v>3</v>
      </c>
      <c r="B32" s="1048" t="s">
        <v>85</v>
      </c>
      <c r="C32" s="1049"/>
      <c r="D32" s="1050"/>
      <c r="E32" s="731">
        <v>2.652286999999969</v>
      </c>
      <c r="F32" s="727">
        <v>27.438811000000012</v>
      </c>
      <c r="G32" s="130">
        <v>2.555756000000022</v>
      </c>
      <c r="H32" s="97">
        <v>30.887011000000143</v>
      </c>
      <c r="I32" s="796">
        <v>0.0965309999999473</v>
      </c>
      <c r="J32" s="797">
        <v>3.777003751529733</v>
      </c>
      <c r="K32" s="1026">
        <v>-3.4482000000001314</v>
      </c>
      <c r="L32" s="797">
        <v>-11.163916119951239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</row>
    <row r="33" spans="1:12" ht="13.5" customHeight="1">
      <c r="A33" s="407"/>
      <c r="B33" s="448" t="s">
        <v>38</v>
      </c>
      <c r="C33" s="176"/>
      <c r="D33" s="644" t="s">
        <v>14</v>
      </c>
      <c r="E33" s="117">
        <v>0.6687249999999949</v>
      </c>
      <c r="F33" s="739">
        <v>4.097081000000003</v>
      </c>
      <c r="G33" s="117">
        <v>0.5056200000000217</v>
      </c>
      <c r="H33" s="739">
        <v>4.783589999999947</v>
      </c>
      <c r="I33" s="1010">
        <v>0.1631049999999732</v>
      </c>
      <c r="J33" s="709">
        <v>32.25841541077611</v>
      </c>
      <c r="K33" s="1025">
        <v>-0.6865089999999441</v>
      </c>
      <c r="L33" s="709">
        <v>-14.351334458010655</v>
      </c>
    </row>
    <row r="34" spans="1:12" ht="14.25" customHeight="1">
      <c r="A34" s="593"/>
      <c r="B34" s="647" t="s">
        <v>39</v>
      </c>
      <c r="C34" s="186"/>
      <c r="D34" s="648" t="s">
        <v>15</v>
      </c>
      <c r="E34" s="117">
        <v>0.3669310000000081</v>
      </c>
      <c r="F34" s="739">
        <v>2.376360000000009</v>
      </c>
      <c r="G34" s="117">
        <v>0.6036059999999992</v>
      </c>
      <c r="H34" s="739">
        <v>3.9497890000000027</v>
      </c>
      <c r="I34" s="1010">
        <v>-0.2366749999999911</v>
      </c>
      <c r="J34" s="709">
        <v>-39.21018015062664</v>
      </c>
      <c r="K34" s="1025">
        <v>-1.5734289999999937</v>
      </c>
      <c r="L34" s="709">
        <v>-39.83577350587569</v>
      </c>
    </row>
    <row r="35" spans="1:12" ht="13.5" customHeight="1">
      <c r="A35" s="407"/>
      <c r="B35" s="448" t="s">
        <v>40</v>
      </c>
      <c r="C35" s="176"/>
      <c r="D35" s="634" t="s">
        <v>110</v>
      </c>
      <c r="E35" s="117">
        <v>0.266098999999997</v>
      </c>
      <c r="F35" s="739">
        <v>1.5882109999999774</v>
      </c>
      <c r="G35" s="117">
        <v>0.17881599999999764</v>
      </c>
      <c r="H35" s="739">
        <v>2.5930849999999577</v>
      </c>
      <c r="I35" s="1010">
        <v>0.08728299999999933</v>
      </c>
      <c r="J35" s="709">
        <v>48.81162759484636</v>
      </c>
      <c r="K35" s="1025">
        <v>-1.0048739999999803</v>
      </c>
      <c r="L35" s="709">
        <v>-38.7520655898282</v>
      </c>
    </row>
    <row r="36" spans="1:12" ht="13.5" customHeight="1" hidden="1">
      <c r="A36" s="594"/>
      <c r="B36" s="649" t="s">
        <v>41</v>
      </c>
      <c r="C36" s="492"/>
      <c r="D36" s="650" t="s">
        <v>16</v>
      </c>
      <c r="E36" s="750"/>
      <c r="F36" s="749">
        <v>0</v>
      </c>
      <c r="G36" s="750">
        <v>0</v>
      </c>
      <c r="H36" s="749">
        <v>0</v>
      </c>
      <c r="I36" s="1010">
        <v>0</v>
      </c>
      <c r="J36" s="709" t="e">
        <v>#DIV/0!</v>
      </c>
      <c r="K36" s="1025">
        <v>0</v>
      </c>
      <c r="L36" s="709" t="e">
        <v>#DIV/0!</v>
      </c>
    </row>
    <row r="37" spans="1:12" ht="15" customHeight="1">
      <c r="A37" s="407"/>
      <c r="B37" s="448" t="s">
        <v>41</v>
      </c>
      <c r="C37" s="199"/>
      <c r="D37" s="645" t="s">
        <v>17</v>
      </c>
      <c r="E37" s="117">
        <v>0.6157239999999717</v>
      </c>
      <c r="F37" s="739">
        <v>6.608900999999978</v>
      </c>
      <c r="G37" s="117">
        <v>0.7093590000000063</v>
      </c>
      <c r="H37" s="739">
        <v>7.558461000000094</v>
      </c>
      <c r="I37" s="1010">
        <v>-0.09363500000003455</v>
      </c>
      <c r="J37" s="709">
        <v>-13.199945302735813</v>
      </c>
      <c r="K37" s="1025">
        <v>-0.9495600000001154</v>
      </c>
      <c r="L37" s="709">
        <v>-12.562874902709737</v>
      </c>
    </row>
    <row r="38" spans="1:12" ht="12.75" customHeight="1">
      <c r="A38" s="407"/>
      <c r="B38" s="448" t="s">
        <v>42</v>
      </c>
      <c r="C38" s="199"/>
      <c r="D38" s="640" t="s">
        <v>3</v>
      </c>
      <c r="E38" s="117">
        <v>0.2747470000000014</v>
      </c>
      <c r="F38" s="739">
        <v>7.989189999999995</v>
      </c>
      <c r="G38" s="117">
        <v>0.18697899999999912</v>
      </c>
      <c r="H38" s="739">
        <v>7.318057000000017</v>
      </c>
      <c r="I38" s="1010">
        <v>0.08776800000000229</v>
      </c>
      <c r="J38" s="709">
        <v>46.940030698636065</v>
      </c>
      <c r="K38" s="1025">
        <v>0.671132999999978</v>
      </c>
      <c r="L38" s="709">
        <v>9.170917908947374</v>
      </c>
    </row>
    <row r="39" spans="1:12" ht="15.75" customHeight="1">
      <c r="A39" s="407"/>
      <c r="B39" s="448" t="s">
        <v>43</v>
      </c>
      <c r="C39" s="199"/>
      <c r="D39" s="641" t="s">
        <v>146</v>
      </c>
      <c r="E39" s="117">
        <v>0.46006099999999606</v>
      </c>
      <c r="F39" s="739">
        <v>4.779068000000052</v>
      </c>
      <c r="G39" s="782">
        <v>0.37137599999999793</v>
      </c>
      <c r="H39" s="1021">
        <v>4.684029000000123</v>
      </c>
      <c r="I39" s="1010">
        <v>0.08868499999999813</v>
      </c>
      <c r="J39" s="709">
        <v>23.880110723363558</v>
      </c>
      <c r="K39" s="1025">
        <v>0.09503899999992882</v>
      </c>
      <c r="L39" s="709">
        <v>2.0290011014006524</v>
      </c>
    </row>
    <row r="40" spans="1:12" s="48" customFormat="1" ht="15" customHeight="1" hidden="1">
      <c r="A40" s="595"/>
      <c r="B40" s="651" t="s">
        <v>44</v>
      </c>
      <c r="C40" s="455"/>
      <c r="D40" s="643" t="s">
        <v>150</v>
      </c>
      <c r="E40" s="911"/>
      <c r="F40" s="917">
        <v>0</v>
      </c>
      <c r="G40" s="759">
        <v>0</v>
      </c>
      <c r="H40" s="760">
        <v>0</v>
      </c>
      <c r="I40" s="1010">
        <v>0</v>
      </c>
      <c r="J40" s="709" t="e">
        <v>#DIV/0!</v>
      </c>
      <c r="K40" s="1025">
        <v>0</v>
      </c>
      <c r="L40" s="709" t="e">
        <v>#DIV/0!</v>
      </c>
    </row>
    <row r="41" spans="1:34" s="65" customFormat="1" ht="20.25" customHeight="1">
      <c r="A41" s="596">
        <v>4</v>
      </c>
      <c r="B41" s="652" t="s">
        <v>6</v>
      </c>
      <c r="C41" s="322"/>
      <c r="D41" s="653"/>
      <c r="E41" s="732">
        <v>670.435138</v>
      </c>
      <c r="F41" s="727">
        <v>6987.829917</v>
      </c>
      <c r="G41" s="130">
        <v>697.9052900000002</v>
      </c>
      <c r="H41" s="173">
        <v>7433.261698</v>
      </c>
      <c r="I41" s="796">
        <v>-27.4701520000001</v>
      </c>
      <c r="J41" s="797">
        <v>-3.936085940830182</v>
      </c>
      <c r="K41" s="1026">
        <v>-445.4317810000002</v>
      </c>
      <c r="L41" s="797">
        <v>-5.9924135473374776</v>
      </c>
      <c r="M41" s="990"/>
      <c r="N41" s="990"/>
      <c r="O41" s="990"/>
      <c r="P41" s="990"/>
      <c r="Q41" s="990"/>
      <c r="R41" s="990"/>
      <c r="S41" s="990"/>
      <c r="T41" s="990"/>
      <c r="U41" s="990"/>
      <c r="V41" s="990"/>
      <c r="W41" s="990"/>
      <c r="X41" s="990"/>
      <c r="Y41" s="990"/>
      <c r="Z41" s="990"/>
      <c r="AA41" s="990"/>
      <c r="AB41" s="990"/>
      <c r="AC41" s="990"/>
      <c r="AD41" s="990"/>
      <c r="AE41" s="990"/>
      <c r="AF41" s="990"/>
      <c r="AG41" s="990"/>
      <c r="AH41" s="990"/>
    </row>
    <row r="42" spans="1:34" s="5" customFormat="1" ht="14.25" customHeight="1">
      <c r="A42" s="409"/>
      <c r="B42" s="449" t="s">
        <v>46</v>
      </c>
      <c r="C42" s="179"/>
      <c r="D42" s="654" t="s">
        <v>9</v>
      </c>
      <c r="E42" s="117">
        <v>161.264553</v>
      </c>
      <c r="F42" s="739">
        <v>2194.847101</v>
      </c>
      <c r="G42" s="117">
        <v>263.255357</v>
      </c>
      <c r="H42" s="739">
        <v>2571.098069</v>
      </c>
      <c r="I42" s="1010">
        <v>-101.990804</v>
      </c>
      <c r="J42" s="709">
        <v>-38.742157106417395</v>
      </c>
      <c r="K42" s="1025">
        <v>-376.2509680000003</v>
      </c>
      <c r="L42" s="709">
        <v>-14.633862960596403</v>
      </c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</row>
    <row r="43" spans="1:34" s="5" customFormat="1" ht="14.25" customHeight="1">
      <c r="A43" s="597"/>
      <c r="B43" s="655" t="s">
        <v>47</v>
      </c>
      <c r="C43" s="180"/>
      <c r="D43" s="656" t="s">
        <v>13</v>
      </c>
      <c r="E43" s="127">
        <v>70.19892</v>
      </c>
      <c r="F43" s="739">
        <v>409.255176</v>
      </c>
      <c r="G43" s="127">
        <v>61.209192</v>
      </c>
      <c r="H43" s="739">
        <v>507.8547010000001</v>
      </c>
      <c r="I43" s="1010">
        <v>8.989728</v>
      </c>
      <c r="J43" s="709">
        <v>14.686892125614065</v>
      </c>
      <c r="K43" s="1025">
        <v>-98.59952500000009</v>
      </c>
      <c r="L43" s="709">
        <v>-19.41490839916436</v>
      </c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</row>
    <row r="44" spans="1:34" s="5" customFormat="1" ht="12.75" customHeight="1" hidden="1">
      <c r="A44" s="409"/>
      <c r="B44" s="651"/>
      <c r="C44" s="181"/>
      <c r="D44" s="657" t="s">
        <v>121</v>
      </c>
      <c r="E44" s="127">
        <v>70.19892</v>
      </c>
      <c r="F44" s="739">
        <v>409.255176</v>
      </c>
      <c r="G44" s="127">
        <v>61.209192</v>
      </c>
      <c r="H44" s="739">
        <v>507.8547010000001</v>
      </c>
      <c r="I44" s="1010">
        <v>8.989728</v>
      </c>
      <c r="J44" s="709">
        <v>14.686892125614065</v>
      </c>
      <c r="K44" s="1025">
        <v>-98.59952500000009</v>
      </c>
      <c r="L44" s="709">
        <v>-19.41490839916436</v>
      </c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</row>
    <row r="45" spans="1:34" s="5" customFormat="1" ht="16.5" customHeight="1">
      <c r="A45" s="409"/>
      <c r="B45" s="449" t="s">
        <v>48</v>
      </c>
      <c r="C45" s="178"/>
      <c r="D45" s="634" t="s">
        <v>110</v>
      </c>
      <c r="E45" s="117">
        <v>109.81586</v>
      </c>
      <c r="F45" s="739">
        <v>668.6318100000001</v>
      </c>
      <c r="G45" s="117">
        <v>74.52808</v>
      </c>
      <c r="H45" s="739">
        <v>615.7325900000001</v>
      </c>
      <c r="I45" s="1010">
        <v>35.28778</v>
      </c>
      <c r="J45" s="709">
        <v>47.348301472411464</v>
      </c>
      <c r="K45" s="1025">
        <v>52.899220000000014</v>
      </c>
      <c r="L45" s="709">
        <v>8.59126524389427</v>
      </c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</row>
    <row r="46" spans="1:34" s="5" customFormat="1" ht="14.25" customHeight="1" hidden="1">
      <c r="A46" s="409"/>
      <c r="B46" s="449" t="s">
        <v>53</v>
      </c>
      <c r="C46" s="178"/>
      <c r="D46" s="654" t="s">
        <v>16</v>
      </c>
      <c r="E46" s="127"/>
      <c r="F46" s="739">
        <v>0</v>
      </c>
      <c r="G46" s="127">
        <v>0</v>
      </c>
      <c r="H46" s="739">
        <v>0</v>
      </c>
      <c r="I46" s="1010">
        <v>0</v>
      </c>
      <c r="J46" s="709" t="e">
        <v>#DIV/0!</v>
      </c>
      <c r="K46" s="1025">
        <v>0</v>
      </c>
      <c r="L46" s="709" t="e">
        <v>#DIV/0!</v>
      </c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</row>
    <row r="47" spans="1:34" s="5" customFormat="1" ht="14.25" customHeight="1">
      <c r="A47" s="409"/>
      <c r="B47" s="449" t="s">
        <v>53</v>
      </c>
      <c r="C47" s="179"/>
      <c r="D47" s="645" t="s">
        <v>17</v>
      </c>
      <c r="E47" s="117">
        <v>151.69585</v>
      </c>
      <c r="F47" s="739">
        <v>1380.764421</v>
      </c>
      <c r="G47" s="117">
        <v>144.330015</v>
      </c>
      <c r="H47" s="739">
        <v>1541.2596630000003</v>
      </c>
      <c r="I47" s="1010">
        <v>7.365835000000004</v>
      </c>
      <c r="J47" s="709">
        <v>5.10346721712736</v>
      </c>
      <c r="K47" s="1025">
        <v>-160.4952420000002</v>
      </c>
      <c r="L47" s="709">
        <v>-10.41325130689546</v>
      </c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</row>
    <row r="48" spans="1:34" s="5" customFormat="1" ht="14.25" customHeight="1">
      <c r="A48" s="597"/>
      <c r="B48" s="655" t="s">
        <v>49</v>
      </c>
      <c r="C48" s="195"/>
      <c r="D48" s="656" t="s">
        <v>3</v>
      </c>
      <c r="E48" s="756">
        <v>11.132174</v>
      </c>
      <c r="F48" s="875">
        <v>395.59944299999995</v>
      </c>
      <c r="G48" s="756">
        <v>15.306504</v>
      </c>
      <c r="H48" s="875">
        <v>444.311094</v>
      </c>
      <c r="I48" s="1010">
        <v>-4.174330000000001</v>
      </c>
      <c r="J48" s="709">
        <v>-27.271609506651558</v>
      </c>
      <c r="K48" s="1025">
        <v>-48.711651000000074</v>
      </c>
      <c r="L48" s="709">
        <v>-10.963410920367451</v>
      </c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</row>
    <row r="49" spans="1:34" s="5" customFormat="1" ht="12.75" customHeight="1" hidden="1">
      <c r="A49" s="409"/>
      <c r="B49" s="658"/>
      <c r="C49" s="182"/>
      <c r="D49" s="659" t="s">
        <v>97</v>
      </c>
      <c r="E49" s="756">
        <v>11.132174</v>
      </c>
      <c r="F49" s="739">
        <v>395.59944299999995</v>
      </c>
      <c r="G49" s="127">
        <v>15.306504</v>
      </c>
      <c r="H49" s="739">
        <v>444.311094</v>
      </c>
      <c r="I49" s="1010">
        <v>-4.174330000000001</v>
      </c>
      <c r="J49" s="709">
        <v>-27.271609506651558</v>
      </c>
      <c r="K49" s="1025">
        <v>-48.711651000000074</v>
      </c>
      <c r="L49" s="709">
        <v>-10.963410920367451</v>
      </c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</row>
    <row r="50" spans="1:34" s="5" customFormat="1" ht="16.5" customHeight="1">
      <c r="A50" s="409"/>
      <c r="B50" s="449" t="s">
        <v>50</v>
      </c>
      <c r="C50" s="179"/>
      <c r="D50" s="641" t="s">
        <v>147</v>
      </c>
      <c r="E50" s="117">
        <v>117.163714</v>
      </c>
      <c r="F50" s="739">
        <v>981.804033</v>
      </c>
      <c r="G50" s="117">
        <v>92.461883</v>
      </c>
      <c r="H50" s="739">
        <v>909.56648</v>
      </c>
      <c r="I50" s="1010">
        <v>24.701831</v>
      </c>
      <c r="J50" s="709">
        <v>26.715691048602167</v>
      </c>
      <c r="K50" s="1025">
        <v>72.23755300000005</v>
      </c>
      <c r="L50" s="709">
        <v>7.941976159895432</v>
      </c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</row>
    <row r="51" spans="1:12" s="48" customFormat="1" ht="14.25" customHeight="1" hidden="1">
      <c r="A51" s="591"/>
      <c r="B51" s="646" t="s">
        <v>51</v>
      </c>
      <c r="C51" s="450"/>
      <c r="D51" s="643" t="s">
        <v>150</v>
      </c>
      <c r="E51" s="755"/>
      <c r="F51" s="200">
        <v>0</v>
      </c>
      <c r="G51" s="755">
        <v>0</v>
      </c>
      <c r="H51" s="200">
        <v>0</v>
      </c>
      <c r="I51" s="1010">
        <v>0</v>
      </c>
      <c r="J51" s="709" t="e">
        <v>#DIV/0!</v>
      </c>
      <c r="K51" s="1025">
        <v>0</v>
      </c>
      <c r="L51" s="709" t="e">
        <v>#DIV/0!</v>
      </c>
    </row>
    <row r="52" spans="1:12" ht="15.75" customHeight="1">
      <c r="A52" s="406"/>
      <c r="B52" s="447" t="s">
        <v>51</v>
      </c>
      <c r="C52" s="198"/>
      <c r="D52" s="640" t="s">
        <v>37</v>
      </c>
      <c r="E52" s="117">
        <v>49.164067</v>
      </c>
      <c r="F52" s="200">
        <v>956.9279329999999</v>
      </c>
      <c r="G52" s="117">
        <v>46.814259</v>
      </c>
      <c r="H52" s="200">
        <v>843.4391009999999</v>
      </c>
      <c r="I52" s="1010">
        <v>2.349808000000003</v>
      </c>
      <c r="J52" s="709">
        <v>5.019427948224077</v>
      </c>
      <c r="K52" s="1025">
        <v>113.488832</v>
      </c>
      <c r="L52" s="709">
        <v>13.455486218915524</v>
      </c>
    </row>
    <row r="53" spans="1:34" s="66" customFormat="1" ht="21" customHeight="1">
      <c r="A53" s="592">
        <v>5</v>
      </c>
      <c r="B53" s="660" t="s">
        <v>45</v>
      </c>
      <c r="C53" s="323"/>
      <c r="D53" s="661"/>
      <c r="E53" s="130">
        <v>644.754611</v>
      </c>
      <c r="F53" s="173">
        <v>6295.081465</v>
      </c>
      <c r="G53" s="158">
        <v>665.0631650000001</v>
      </c>
      <c r="H53" s="724">
        <v>6829.884662</v>
      </c>
      <c r="I53" s="796">
        <v>-20.308554000000186</v>
      </c>
      <c r="J53" s="797">
        <v>-3.0536278460107127</v>
      </c>
      <c r="K53" s="1026">
        <v>-534.8031970000002</v>
      </c>
      <c r="L53" s="797">
        <v>-7.830340093084288</v>
      </c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</row>
    <row r="54" spans="1:12" ht="18" customHeight="1">
      <c r="A54" s="406"/>
      <c r="B54" s="447" t="s">
        <v>54</v>
      </c>
      <c r="C54" s="177"/>
      <c r="D54" s="662" t="s">
        <v>155</v>
      </c>
      <c r="E54" s="117">
        <v>621.271071</v>
      </c>
      <c r="F54" s="739">
        <v>6030.901984</v>
      </c>
      <c r="G54" s="755">
        <v>651.0910310000002</v>
      </c>
      <c r="H54" s="200">
        <v>6656.281277</v>
      </c>
      <c r="I54" s="1010">
        <v>-29.81996000000015</v>
      </c>
      <c r="J54" s="709">
        <v>-4.579998583946107</v>
      </c>
      <c r="K54" s="1025">
        <v>-625.379293</v>
      </c>
      <c r="L54" s="709">
        <v>-9.395325512473832</v>
      </c>
    </row>
    <row r="55" spans="1:34" s="4" customFormat="1" ht="15" customHeight="1">
      <c r="A55" s="598"/>
      <c r="B55" s="667" t="s">
        <v>55</v>
      </c>
      <c r="C55" s="185"/>
      <c r="D55" s="668" t="s">
        <v>56</v>
      </c>
      <c r="E55" s="117">
        <v>23.48354</v>
      </c>
      <c r="F55" s="735">
        <v>264.179481</v>
      </c>
      <c r="G55" s="117">
        <v>13.972134</v>
      </c>
      <c r="H55" s="735">
        <v>173.603385</v>
      </c>
      <c r="I55" s="1010">
        <v>9.511406000000001</v>
      </c>
      <c r="J55" s="709">
        <v>68.07411094110606</v>
      </c>
      <c r="K55" s="1025">
        <v>90.576096</v>
      </c>
      <c r="L55" s="709">
        <v>52.17415317103408</v>
      </c>
      <c r="M55" s="990"/>
      <c r="N55" s="990"/>
      <c r="O55" s="990"/>
      <c r="P55" s="990"/>
      <c r="Q55" s="990"/>
      <c r="R55" s="990"/>
      <c r="S55" s="990"/>
      <c r="T55" s="990"/>
      <c r="U55" s="990"/>
      <c r="V55" s="990"/>
      <c r="W55" s="990"/>
      <c r="X55" s="990"/>
      <c r="Y55" s="990"/>
      <c r="Z55" s="990"/>
      <c r="AA55" s="990"/>
      <c r="AB55" s="990"/>
      <c r="AC55" s="990"/>
      <c r="AD55" s="990"/>
      <c r="AE55" s="990"/>
      <c r="AF55" s="990"/>
      <c r="AG55" s="990"/>
      <c r="AH55" s="990"/>
    </row>
    <row r="56" spans="1:12" ht="15" customHeight="1">
      <c r="A56" s="409"/>
      <c r="B56" s="669"/>
      <c r="C56" s="437" t="s">
        <v>57</v>
      </c>
      <c r="D56" s="670" t="s">
        <v>10</v>
      </c>
      <c r="E56" s="127">
        <v>23.2829</v>
      </c>
      <c r="F56" s="739">
        <v>76.623665</v>
      </c>
      <c r="G56" s="127">
        <v>13.590258</v>
      </c>
      <c r="H56" s="739">
        <v>89.032525</v>
      </c>
      <c r="I56" s="1010">
        <v>9.692642000000001</v>
      </c>
      <c r="J56" s="709">
        <v>71.32051503363661</v>
      </c>
      <c r="K56" s="1025">
        <v>-12.408860000000004</v>
      </c>
      <c r="L56" s="709">
        <v>-13.937445894070734</v>
      </c>
    </row>
    <row r="57" spans="1:12" ht="16.5" customHeight="1">
      <c r="A57" s="406"/>
      <c r="B57" s="671"/>
      <c r="C57" s="438" t="s">
        <v>58</v>
      </c>
      <c r="D57" s="643" t="s">
        <v>177</v>
      </c>
      <c r="E57" s="127">
        <v>0.20064</v>
      </c>
      <c r="F57" s="739">
        <v>39.63524399999999</v>
      </c>
      <c r="G57" s="127">
        <v>0.381876</v>
      </c>
      <c r="H57" s="739">
        <v>13.720080000000001</v>
      </c>
      <c r="I57" s="1010">
        <v>-0.18123599999999998</v>
      </c>
      <c r="J57" s="709">
        <v>-47.45938472174214</v>
      </c>
      <c r="K57" s="1025">
        <v>25.91516399999999</v>
      </c>
      <c r="L57" s="709">
        <v>188.88493361554737</v>
      </c>
    </row>
    <row r="58" spans="1:12" ht="13.5" customHeight="1">
      <c r="A58" s="406"/>
      <c r="B58" s="49"/>
      <c r="C58" s="199" t="s">
        <v>59</v>
      </c>
      <c r="D58" s="676" t="s">
        <v>178</v>
      </c>
      <c r="E58" s="99">
        <v>0</v>
      </c>
      <c r="F58" s="739">
        <v>147.920572</v>
      </c>
      <c r="G58" s="99">
        <v>0</v>
      </c>
      <c r="H58" s="98">
        <v>70.85078000000001</v>
      </c>
      <c r="I58" s="1010"/>
      <c r="J58" s="709"/>
      <c r="K58" s="1025">
        <v>77.06979199999998</v>
      </c>
      <c r="L58" s="709">
        <v>108.77761966770154</v>
      </c>
    </row>
    <row r="59" spans="1:34" s="65" customFormat="1" ht="18" customHeight="1">
      <c r="A59" s="592">
        <v>6</v>
      </c>
      <c r="B59" s="1048" t="s">
        <v>60</v>
      </c>
      <c r="C59" s="1049"/>
      <c r="D59" s="1050"/>
      <c r="E59" s="130">
        <v>10.311505</v>
      </c>
      <c r="F59" s="173">
        <v>119.111194</v>
      </c>
      <c r="G59" s="130">
        <v>12.144515</v>
      </c>
      <c r="H59" s="787">
        <v>128.962435</v>
      </c>
      <c r="I59" s="796">
        <v>-1.8330099999999998</v>
      </c>
      <c r="J59" s="797">
        <v>-15.093315789061975</v>
      </c>
      <c r="K59" s="1026">
        <v>-9.851241000000002</v>
      </c>
      <c r="L59" s="797">
        <v>-7.638845373848596</v>
      </c>
      <c r="M59" s="990"/>
      <c r="N59" s="990"/>
      <c r="O59" s="990"/>
      <c r="P59" s="990"/>
      <c r="Q59" s="990"/>
      <c r="R59" s="990"/>
      <c r="S59" s="990"/>
      <c r="T59" s="990"/>
      <c r="U59" s="990"/>
      <c r="V59" s="990"/>
      <c r="W59" s="990"/>
      <c r="X59" s="990"/>
      <c r="Y59" s="990"/>
      <c r="Z59" s="990"/>
      <c r="AA59" s="990"/>
      <c r="AB59" s="990"/>
      <c r="AC59" s="990"/>
      <c r="AD59" s="990"/>
      <c r="AE59" s="990"/>
      <c r="AF59" s="990"/>
      <c r="AG59" s="990"/>
      <c r="AH59" s="990"/>
    </row>
    <row r="60" spans="1:34" s="4" customFormat="1" ht="21" customHeight="1" hidden="1">
      <c r="A60" s="599">
        <v>5</v>
      </c>
      <c r="B60" s="681" t="s">
        <v>7</v>
      </c>
      <c r="C60" s="192"/>
      <c r="D60" s="682"/>
      <c r="E60" s="883"/>
      <c r="F60" s="882"/>
      <c r="G60" s="883"/>
      <c r="H60" s="882"/>
      <c r="I60" s="1010">
        <v>0</v>
      </c>
      <c r="J60" s="709" t="e">
        <v>#DIV/0!</v>
      </c>
      <c r="K60" s="1025">
        <v>0</v>
      </c>
      <c r="L60" s="709" t="e">
        <v>#DIV/0!</v>
      </c>
      <c r="M60" s="990"/>
      <c r="N60" s="990"/>
      <c r="O60" s="990"/>
      <c r="P60" s="990"/>
      <c r="Q60" s="990"/>
      <c r="R60" s="990"/>
      <c r="S60" s="990"/>
      <c r="T60" s="990"/>
      <c r="U60" s="990"/>
      <c r="V60" s="990"/>
      <c r="W60" s="990"/>
      <c r="X60" s="990"/>
      <c r="Y60" s="990"/>
      <c r="Z60" s="990"/>
      <c r="AA60" s="990"/>
      <c r="AB60" s="990"/>
      <c r="AC60" s="990"/>
      <c r="AD60" s="990"/>
      <c r="AE60" s="990"/>
      <c r="AF60" s="990"/>
      <c r="AG60" s="990"/>
      <c r="AH60" s="990"/>
    </row>
    <row r="61" spans="1:34" s="4" customFormat="1" ht="13.5" customHeight="1" hidden="1">
      <c r="A61" s="599">
        <v>5</v>
      </c>
      <c r="B61" s="683" t="s">
        <v>8</v>
      </c>
      <c r="C61" s="193"/>
      <c r="D61" s="684"/>
      <c r="E61" s="141"/>
      <c r="F61" s="102">
        <v>0</v>
      </c>
      <c r="G61" s="141"/>
      <c r="H61" s="102">
        <v>0</v>
      </c>
      <c r="I61" s="1010">
        <v>0</v>
      </c>
      <c r="J61" s="709" t="e">
        <v>#DIV/0!</v>
      </c>
      <c r="K61" s="1025">
        <v>0</v>
      </c>
      <c r="L61" s="709" t="e">
        <v>#DIV/0!</v>
      </c>
      <c r="M61" s="990"/>
      <c r="N61" s="990"/>
      <c r="O61" s="990"/>
      <c r="P61" s="990"/>
      <c r="Q61" s="990"/>
      <c r="R61" s="990"/>
      <c r="S61" s="990"/>
      <c r="T61" s="990"/>
      <c r="U61" s="990"/>
      <c r="V61" s="990"/>
      <c r="W61" s="990"/>
      <c r="X61" s="990"/>
      <c r="Y61" s="990"/>
      <c r="Z61" s="990"/>
      <c r="AA61" s="990"/>
      <c r="AB61" s="990"/>
      <c r="AC61" s="990"/>
      <c r="AD61" s="990"/>
      <c r="AE61" s="990"/>
      <c r="AF61" s="990"/>
      <c r="AG61" s="990"/>
      <c r="AH61" s="990"/>
    </row>
    <row r="62" spans="1:34" s="8" customFormat="1" ht="15.75" customHeight="1">
      <c r="A62" s="1034"/>
      <c r="B62" s="1032"/>
      <c r="C62" s="1031"/>
      <c r="D62" s="1030" t="s">
        <v>65</v>
      </c>
      <c r="E62" s="268">
        <v>0.015992913930475174</v>
      </c>
      <c r="F62" s="103">
        <v>0.01892131097305823</v>
      </c>
      <c r="G62" s="268">
        <v>0.018260694080087864</v>
      </c>
      <c r="H62" s="103">
        <v>0.018882080940183232</v>
      </c>
      <c r="I62" s="1010">
        <v>-0.23</v>
      </c>
      <c r="J62" s="709"/>
      <c r="K62" s="1038">
        <v>0</v>
      </c>
      <c r="L62" s="709"/>
      <c r="M62" s="990"/>
      <c r="N62" s="990"/>
      <c r="O62" s="990"/>
      <c r="P62" s="990"/>
      <c r="Q62" s="990"/>
      <c r="R62" s="990"/>
      <c r="S62" s="990"/>
      <c r="T62" s="990"/>
      <c r="U62" s="990"/>
      <c r="V62" s="990"/>
      <c r="W62" s="990"/>
      <c r="X62" s="990"/>
      <c r="Y62" s="990"/>
      <c r="Z62" s="990"/>
      <c r="AA62" s="990"/>
      <c r="AB62" s="990"/>
      <c r="AC62" s="990"/>
      <c r="AD62" s="990"/>
      <c r="AE62" s="990"/>
      <c r="AF62" s="990"/>
      <c r="AG62" s="990"/>
      <c r="AH62" s="990"/>
    </row>
    <row r="63" spans="1:34" s="8" customFormat="1" ht="17.25" customHeight="1">
      <c r="A63" s="1033"/>
      <c r="B63" s="655" t="s">
        <v>61</v>
      </c>
      <c r="C63" s="180"/>
      <c r="D63" s="1029" t="s">
        <v>62</v>
      </c>
      <c r="E63" s="1016"/>
      <c r="F63" s="478">
        <v>3.048037</v>
      </c>
      <c r="G63" s="1016">
        <v>0</v>
      </c>
      <c r="H63" s="478">
        <v>1.567878</v>
      </c>
      <c r="I63" s="1010"/>
      <c r="J63" s="709"/>
      <c r="K63" s="1025">
        <v>1.4801589999999998</v>
      </c>
      <c r="L63" s="709">
        <v>94.40524071388205</v>
      </c>
      <c r="M63" s="990"/>
      <c r="N63" s="990"/>
      <c r="O63" s="990"/>
      <c r="P63" s="990"/>
      <c r="Q63" s="990"/>
      <c r="R63" s="990"/>
      <c r="S63" s="990"/>
      <c r="T63" s="990"/>
      <c r="U63" s="990"/>
      <c r="V63" s="990"/>
      <c r="W63" s="990"/>
      <c r="X63" s="990"/>
      <c r="Y63" s="990"/>
      <c r="Z63" s="990"/>
      <c r="AA63" s="990"/>
      <c r="AB63" s="990"/>
      <c r="AC63" s="990"/>
      <c r="AD63" s="990"/>
      <c r="AE63" s="990"/>
      <c r="AF63" s="990"/>
      <c r="AG63" s="990"/>
      <c r="AH63" s="990"/>
    </row>
    <row r="64" spans="1:34" s="8" customFormat="1" ht="19.5" customHeight="1">
      <c r="A64" s="408"/>
      <c r="B64" s="449" t="s">
        <v>158</v>
      </c>
      <c r="C64" s="178"/>
      <c r="D64" s="380" t="s">
        <v>63</v>
      </c>
      <c r="E64" s="127">
        <v>9.376625</v>
      </c>
      <c r="F64" s="95">
        <v>97.464436</v>
      </c>
      <c r="G64" s="127">
        <v>10.314201</v>
      </c>
      <c r="H64" s="200">
        <v>103.855683</v>
      </c>
      <c r="I64" s="1010">
        <v>-0.937576</v>
      </c>
      <c r="J64" s="709">
        <v>-9.090146682229673</v>
      </c>
      <c r="K64" s="1025">
        <v>-6.391246999999993</v>
      </c>
      <c r="L64" s="709">
        <v>-6.15396944623626</v>
      </c>
      <c r="M64" s="990"/>
      <c r="N64" s="990"/>
      <c r="O64" s="990"/>
      <c r="P64" s="990"/>
      <c r="Q64" s="990"/>
      <c r="R64" s="990"/>
      <c r="S64" s="990"/>
      <c r="T64" s="990"/>
      <c r="U64" s="990"/>
      <c r="V64" s="990"/>
      <c r="W64" s="990"/>
      <c r="X64" s="990"/>
      <c r="Y64" s="990"/>
      <c r="Z64" s="990"/>
      <c r="AA64" s="990"/>
      <c r="AB64" s="990"/>
      <c r="AC64" s="990"/>
      <c r="AD64" s="990"/>
      <c r="AE64" s="990"/>
      <c r="AF64" s="990"/>
      <c r="AG64" s="990"/>
      <c r="AH64" s="990"/>
    </row>
    <row r="65" spans="1:34" s="8" customFormat="1" ht="16.5" customHeight="1" hidden="1">
      <c r="A65" s="302"/>
      <c r="B65" s="655" t="s">
        <v>88</v>
      </c>
      <c r="C65" s="180"/>
      <c r="D65" s="687" t="s">
        <v>89</v>
      </c>
      <c r="E65" s="753"/>
      <c r="F65" s="979">
        <v>0</v>
      </c>
      <c r="G65" s="753">
        <v>0</v>
      </c>
      <c r="H65" s="1022">
        <v>0</v>
      </c>
      <c r="I65" s="1010">
        <v>0</v>
      </c>
      <c r="J65" s="709" t="e">
        <v>#DIV/0!</v>
      </c>
      <c r="K65" s="1025">
        <v>0</v>
      </c>
      <c r="L65" s="709" t="e">
        <v>#DIV/0!</v>
      </c>
      <c r="M65" s="990"/>
      <c r="N65" s="990"/>
      <c r="O65" s="990"/>
      <c r="P65" s="990"/>
      <c r="Q65" s="990"/>
      <c r="R65" s="990"/>
      <c r="S65" s="990"/>
      <c r="T65" s="990"/>
      <c r="U65" s="990"/>
      <c r="V65" s="990"/>
      <c r="W65" s="990"/>
      <c r="X65" s="990"/>
      <c r="Y65" s="990"/>
      <c r="Z65" s="990"/>
      <c r="AA65" s="990"/>
      <c r="AB65" s="990"/>
      <c r="AC65" s="990"/>
      <c r="AD65" s="990"/>
      <c r="AE65" s="990"/>
      <c r="AF65" s="990"/>
      <c r="AG65" s="990"/>
      <c r="AH65" s="990"/>
    </row>
    <row r="66" spans="1:34" s="8" customFormat="1" ht="18" customHeight="1">
      <c r="A66" s="407"/>
      <c r="B66" s="655" t="s">
        <v>148</v>
      </c>
      <c r="C66" s="195"/>
      <c r="D66" s="688" t="s">
        <v>118</v>
      </c>
      <c r="E66" s="734"/>
      <c r="F66" s="95">
        <v>0.128921</v>
      </c>
      <c r="G66" s="734">
        <v>1.363864</v>
      </c>
      <c r="H66" s="200">
        <v>5.944532</v>
      </c>
      <c r="I66" s="1010">
        <v>-1.363864</v>
      </c>
      <c r="J66" s="709"/>
      <c r="K66" s="1025">
        <v>-5.815611</v>
      </c>
      <c r="L66" s="709">
        <v>-97.83126745721951</v>
      </c>
      <c r="M66" s="990"/>
      <c r="N66" s="990"/>
      <c r="O66" s="990"/>
      <c r="P66" s="990"/>
      <c r="Q66" s="990"/>
      <c r="R66" s="990"/>
      <c r="S66" s="990"/>
      <c r="T66" s="990"/>
      <c r="U66" s="990"/>
      <c r="V66" s="990"/>
      <c r="W66" s="990"/>
      <c r="X66" s="990"/>
      <c r="Y66" s="990"/>
      <c r="Z66" s="990"/>
      <c r="AA66" s="990"/>
      <c r="AB66" s="990"/>
      <c r="AC66" s="990"/>
      <c r="AD66" s="990"/>
      <c r="AE66" s="990"/>
      <c r="AF66" s="990"/>
      <c r="AG66" s="990"/>
      <c r="AH66" s="990"/>
    </row>
    <row r="67" spans="1:34" s="8" customFormat="1" ht="24.75" customHeight="1" thickBot="1">
      <c r="A67" s="952"/>
      <c r="B67" s="449" t="s">
        <v>159</v>
      </c>
      <c r="C67" s="179"/>
      <c r="D67" s="634" t="s">
        <v>119</v>
      </c>
      <c r="E67" s="734">
        <v>0.93488</v>
      </c>
      <c r="F67" s="95">
        <v>18.4698</v>
      </c>
      <c r="G67" s="1018">
        <v>0.46645</v>
      </c>
      <c r="H67" s="1023">
        <v>15.865075</v>
      </c>
      <c r="I67" s="1010">
        <v>0.46843000000000007</v>
      </c>
      <c r="J67" s="709">
        <v>100.42448279558366</v>
      </c>
      <c r="K67" s="1025">
        <v>2.604725</v>
      </c>
      <c r="L67" s="709">
        <v>16.417981005447515</v>
      </c>
      <c r="M67" s="990"/>
      <c r="N67" s="990"/>
      <c r="O67" s="990"/>
      <c r="P67" s="990"/>
      <c r="Q67" s="990"/>
      <c r="R67" s="990"/>
      <c r="S67" s="990"/>
      <c r="T67" s="990"/>
      <c r="U67" s="990"/>
      <c r="V67" s="990"/>
      <c r="W67" s="990"/>
      <c r="X67" s="990"/>
      <c r="Y67" s="990"/>
      <c r="Z67" s="990"/>
      <c r="AA67" s="990"/>
      <c r="AB67" s="990"/>
      <c r="AC67" s="990"/>
      <c r="AD67" s="990"/>
      <c r="AE67" s="990"/>
      <c r="AF67" s="990"/>
      <c r="AG67" s="990"/>
      <c r="AH67" s="990"/>
    </row>
    <row r="68" spans="1:34" s="8" customFormat="1" ht="16.5" customHeight="1" hidden="1">
      <c r="A68" s="302"/>
      <c r="B68" s="689" t="s">
        <v>112</v>
      </c>
      <c r="C68" s="195"/>
      <c r="D68" s="688" t="s">
        <v>113</v>
      </c>
      <c r="E68" s="753"/>
      <c r="F68" s="975">
        <v>0</v>
      </c>
      <c r="G68" s="753">
        <v>0</v>
      </c>
      <c r="H68" s="975">
        <v>0</v>
      </c>
      <c r="I68" s="1010">
        <v>0</v>
      </c>
      <c r="J68" s="709" t="e">
        <v>#DIV/0!</v>
      </c>
      <c r="K68" s="1025">
        <v>0</v>
      </c>
      <c r="L68" s="709" t="e">
        <v>#DIV/0!</v>
      </c>
      <c r="M68" s="990"/>
      <c r="N68" s="990"/>
      <c r="O68" s="990"/>
      <c r="P68" s="990"/>
      <c r="Q68" s="990"/>
      <c r="R68" s="990"/>
      <c r="S68" s="990"/>
      <c r="T68" s="990"/>
      <c r="U68" s="990"/>
      <c r="V68" s="990"/>
      <c r="W68" s="990"/>
      <c r="X68" s="990"/>
      <c r="Y68" s="990"/>
      <c r="Z68" s="990"/>
      <c r="AA68" s="990"/>
      <c r="AB68" s="990"/>
      <c r="AC68" s="990"/>
      <c r="AD68" s="990"/>
      <c r="AE68" s="990"/>
      <c r="AF68" s="990"/>
      <c r="AG68" s="990"/>
      <c r="AH68" s="990"/>
    </row>
    <row r="69" spans="1:34" s="8" customFormat="1" ht="16.5" customHeight="1" hidden="1">
      <c r="A69" s="407"/>
      <c r="B69" s="689" t="s">
        <v>117</v>
      </c>
      <c r="C69" s="195"/>
      <c r="D69" s="634" t="s">
        <v>114</v>
      </c>
      <c r="E69" s="734"/>
      <c r="F69" s="1007">
        <v>0</v>
      </c>
      <c r="G69" s="1008">
        <v>0</v>
      </c>
      <c r="H69" s="1007">
        <v>1.7292669999999999</v>
      </c>
      <c r="I69" s="1011">
        <v>0</v>
      </c>
      <c r="J69" s="1012" t="e">
        <v>#DIV/0!</v>
      </c>
      <c r="K69" s="1027">
        <v>-1.7292669999999999</v>
      </c>
      <c r="L69" s="1012">
        <v>-100</v>
      </c>
      <c r="M69" s="990"/>
      <c r="N69" s="990"/>
      <c r="O69" s="990"/>
      <c r="P69" s="990"/>
      <c r="Q69" s="990"/>
      <c r="R69" s="990"/>
      <c r="S69" s="990"/>
      <c r="T69" s="990"/>
      <c r="U69" s="990"/>
      <c r="V69" s="990"/>
      <c r="W69" s="990"/>
      <c r="X69" s="990"/>
      <c r="Y69" s="990"/>
      <c r="Z69" s="990"/>
      <c r="AA69" s="990"/>
      <c r="AB69" s="990"/>
      <c r="AC69" s="990"/>
      <c r="AD69" s="990"/>
      <c r="AE69" s="990"/>
      <c r="AF69" s="990"/>
      <c r="AG69" s="990"/>
      <c r="AH69" s="990"/>
    </row>
    <row r="70" spans="1:34" s="8" customFormat="1" ht="16.5" customHeight="1" thickBot="1">
      <c r="A70" s="69">
        <v>1</v>
      </c>
      <c r="B70" s="1076">
        <v>2</v>
      </c>
      <c r="C70" s="1077"/>
      <c r="D70" s="1078"/>
      <c r="E70" s="729">
        <v>3</v>
      </c>
      <c r="F70" s="393">
        <v>4</v>
      </c>
      <c r="G70" s="114">
        <v>5</v>
      </c>
      <c r="H70" s="415">
        <v>6</v>
      </c>
      <c r="I70" s="362">
        <v>7</v>
      </c>
      <c r="J70" s="1037">
        <v>8</v>
      </c>
      <c r="K70" s="550">
        <v>9</v>
      </c>
      <c r="L70" s="363">
        <v>10</v>
      </c>
      <c r="M70" s="990"/>
      <c r="N70" s="990"/>
      <c r="O70" s="990"/>
      <c r="P70" s="990"/>
      <c r="Q70" s="990"/>
      <c r="R70" s="990"/>
      <c r="S70" s="990"/>
      <c r="T70" s="990"/>
      <c r="U70" s="990"/>
      <c r="V70" s="990"/>
      <c r="W70" s="990"/>
      <c r="X70" s="990"/>
      <c r="Y70" s="990"/>
      <c r="Z70" s="990"/>
      <c r="AA70" s="990"/>
      <c r="AB70" s="990"/>
      <c r="AC70" s="990"/>
      <c r="AD70" s="990"/>
      <c r="AE70" s="990"/>
      <c r="AF70" s="990"/>
      <c r="AG70" s="990"/>
      <c r="AH70" s="990"/>
    </row>
    <row r="71" spans="1:34" s="65" customFormat="1" ht="15" customHeight="1">
      <c r="A71" s="592">
        <v>7</v>
      </c>
      <c r="B71" s="660" t="s">
        <v>64</v>
      </c>
      <c r="C71" s="323"/>
      <c r="D71" s="661"/>
      <c r="E71" s="130">
        <v>634.443106</v>
      </c>
      <c r="F71" s="787">
        <v>6175.970271</v>
      </c>
      <c r="G71" s="1009">
        <v>652.9186500000002</v>
      </c>
      <c r="H71" s="1024">
        <v>6700.922227</v>
      </c>
      <c r="I71" s="794">
        <v>-18.47554400000024</v>
      </c>
      <c r="J71" s="375">
        <v>-2.8296854439676764</v>
      </c>
      <c r="K71" s="987">
        <v>-524.9519559999999</v>
      </c>
      <c r="L71" s="375">
        <v>-7.8340255000246515</v>
      </c>
      <c r="M71" s="990"/>
      <c r="N71" s="990"/>
      <c r="O71" s="990"/>
      <c r="P71" s="990"/>
      <c r="Q71" s="990"/>
      <c r="R71" s="990"/>
      <c r="S71" s="990"/>
      <c r="T71" s="990"/>
      <c r="U71" s="990"/>
      <c r="V71" s="990"/>
      <c r="W71" s="990"/>
      <c r="X71" s="990"/>
      <c r="Y71" s="990"/>
      <c r="Z71" s="990"/>
      <c r="AA71" s="990"/>
      <c r="AB71" s="990"/>
      <c r="AC71" s="990"/>
      <c r="AD71" s="990"/>
      <c r="AE71" s="990"/>
      <c r="AF71" s="990"/>
      <c r="AG71" s="990"/>
      <c r="AH71" s="990"/>
    </row>
    <row r="72" spans="1:12" s="48" customFormat="1" ht="17.25" customHeight="1">
      <c r="A72" s="591"/>
      <c r="B72" s="646" t="s">
        <v>66</v>
      </c>
      <c r="C72" s="196"/>
      <c r="D72" s="690" t="s">
        <v>67</v>
      </c>
      <c r="E72" s="755">
        <v>570.5147109999999</v>
      </c>
      <c r="F72" s="200">
        <v>4955.584177</v>
      </c>
      <c r="G72" s="755">
        <v>549.1347250000002</v>
      </c>
      <c r="H72" s="200">
        <v>4864.317974</v>
      </c>
      <c r="I72" s="1010">
        <v>21.37998599999969</v>
      </c>
      <c r="J72" s="709">
        <v>3.893395377609693</v>
      </c>
      <c r="K72" s="1025">
        <v>91.26620300000013</v>
      </c>
      <c r="L72" s="709">
        <v>1.8762384261847558</v>
      </c>
    </row>
    <row r="73" spans="1:12" ht="13.5" customHeight="1">
      <c r="A73" s="409"/>
      <c r="B73" s="448" t="s">
        <v>68</v>
      </c>
      <c r="C73" s="176"/>
      <c r="D73" s="654" t="s">
        <v>69</v>
      </c>
      <c r="E73" s="127">
        <v>63.928395</v>
      </c>
      <c r="F73" s="739">
        <v>1220.3860940000002</v>
      </c>
      <c r="G73" s="127">
        <v>103.783925</v>
      </c>
      <c r="H73" s="739">
        <v>1422.563973</v>
      </c>
      <c r="I73" s="1010">
        <v>-39.855529999999995</v>
      </c>
      <c r="J73" s="709">
        <v>-38.40241154880199</v>
      </c>
      <c r="K73" s="1025">
        <v>-202.17787899999985</v>
      </c>
      <c r="L73" s="709">
        <v>-14.212217013596458</v>
      </c>
    </row>
    <row r="74" spans="1:12" ht="13.5" customHeight="1">
      <c r="A74" s="409"/>
      <c r="B74" s="379"/>
      <c r="C74" s="179" t="s">
        <v>70</v>
      </c>
      <c r="D74" s="654" t="s">
        <v>10</v>
      </c>
      <c r="E74" s="127">
        <v>57.495111</v>
      </c>
      <c r="F74" s="739">
        <v>1175.664098</v>
      </c>
      <c r="G74" s="127">
        <v>98.186861</v>
      </c>
      <c r="H74" s="739">
        <v>1252.9435469999999</v>
      </c>
      <c r="I74" s="1010">
        <v>-40.69174999999999</v>
      </c>
      <c r="J74" s="709">
        <v>-41.443172320174284</v>
      </c>
      <c r="K74" s="1025">
        <v>-77.27944899999989</v>
      </c>
      <c r="L74" s="709">
        <v>-6.167831678054043</v>
      </c>
    </row>
    <row r="75" spans="1:12" ht="14.25" customHeight="1">
      <c r="A75" s="409"/>
      <c r="B75" s="379"/>
      <c r="C75" s="179" t="s">
        <v>71</v>
      </c>
      <c r="D75" s="643" t="s">
        <v>179</v>
      </c>
      <c r="E75" s="127">
        <v>6.433284</v>
      </c>
      <c r="F75" s="739">
        <v>44.721996000000004</v>
      </c>
      <c r="G75" s="127">
        <v>5.597064</v>
      </c>
      <c r="H75" s="739">
        <v>83.08819199999999</v>
      </c>
      <c r="I75" s="1010">
        <v>0.83622</v>
      </c>
      <c r="J75" s="709">
        <v>14.94033300316022</v>
      </c>
      <c r="K75" s="1025">
        <v>-38.36619599999999</v>
      </c>
      <c r="L75" s="709">
        <v>-46.17526880353828</v>
      </c>
    </row>
    <row r="76" spans="1:12" ht="12.75" customHeight="1">
      <c r="A76" s="409"/>
      <c r="B76" s="379"/>
      <c r="C76" s="179" t="s">
        <v>72</v>
      </c>
      <c r="D76" s="676" t="s">
        <v>11</v>
      </c>
      <c r="E76" s="99">
        <v>0</v>
      </c>
      <c r="F76" s="98">
        <v>0</v>
      </c>
      <c r="G76" s="99">
        <v>0</v>
      </c>
      <c r="H76" s="739">
        <v>86.53223400000002</v>
      </c>
      <c r="I76" s="1010"/>
      <c r="J76" s="709"/>
      <c r="K76" s="1025">
        <v>-86.53223400000002</v>
      </c>
      <c r="L76" s="709"/>
    </row>
    <row r="77" spans="1:34" s="66" customFormat="1" ht="18" customHeight="1">
      <c r="A77" s="592">
        <v>8</v>
      </c>
      <c r="B77" s="660" t="s">
        <v>109</v>
      </c>
      <c r="C77" s="323"/>
      <c r="D77" s="691"/>
      <c r="E77" s="733">
        <v>635.288047</v>
      </c>
      <c r="F77" s="173">
        <v>6137.803566000001</v>
      </c>
      <c r="G77" s="130">
        <v>611.4783730000001</v>
      </c>
      <c r="H77" s="173">
        <v>6314.537742999999</v>
      </c>
      <c r="I77" s="796">
        <v>23.80967399999986</v>
      </c>
      <c r="J77" s="797">
        <v>3.8937884071330586</v>
      </c>
      <c r="K77" s="1026">
        <v>-176.73417699999754</v>
      </c>
      <c r="L77" s="797">
        <v>-2.7988458410263917</v>
      </c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</row>
    <row r="78" spans="1:12" ht="17.25" customHeight="1">
      <c r="A78" s="409"/>
      <c r="B78" s="448" t="s">
        <v>74</v>
      </c>
      <c r="C78" s="176"/>
      <c r="D78" s="644" t="s">
        <v>14</v>
      </c>
      <c r="E78" s="127">
        <v>161.264553</v>
      </c>
      <c r="F78" s="200">
        <v>2194.847101</v>
      </c>
      <c r="G78" s="127">
        <v>263.255357</v>
      </c>
      <c r="H78" s="200">
        <v>2571.098069</v>
      </c>
      <c r="I78" s="1010">
        <v>-101.990804</v>
      </c>
      <c r="J78" s="709">
        <v>-38.742157106417395</v>
      </c>
      <c r="K78" s="1025">
        <v>-376.2509680000003</v>
      </c>
      <c r="L78" s="709">
        <v>-14.633862960596403</v>
      </c>
    </row>
    <row r="79" spans="1:12" ht="14.25" customHeight="1">
      <c r="A79" s="409"/>
      <c r="B79" s="448" t="s">
        <v>75</v>
      </c>
      <c r="C79" s="176"/>
      <c r="D79" s="640" t="s">
        <v>15</v>
      </c>
      <c r="E79" s="127">
        <v>70.19892</v>
      </c>
      <c r="F79" s="200">
        <v>409.255176</v>
      </c>
      <c r="G79" s="127">
        <v>61.209192</v>
      </c>
      <c r="H79" s="200">
        <v>507.8547010000001</v>
      </c>
      <c r="I79" s="1010">
        <v>8.989728</v>
      </c>
      <c r="J79" s="709">
        <v>14.686892125614065</v>
      </c>
      <c r="K79" s="1025">
        <v>-98.59952500000009</v>
      </c>
      <c r="L79" s="709">
        <v>-19.41490839916436</v>
      </c>
    </row>
    <row r="80" spans="1:12" ht="17.25" customHeight="1">
      <c r="A80" s="409"/>
      <c r="B80" s="448" t="s">
        <v>76</v>
      </c>
      <c r="C80" s="176"/>
      <c r="D80" s="692" t="s">
        <v>110</v>
      </c>
      <c r="E80" s="127">
        <v>51.385869</v>
      </c>
      <c r="F80" s="200">
        <v>323.44898900000004</v>
      </c>
      <c r="G80" s="99">
        <v>0</v>
      </c>
      <c r="H80" s="200">
        <v>215.152278</v>
      </c>
      <c r="I80" s="1010">
        <v>51.385869</v>
      </c>
      <c r="J80" s="709"/>
      <c r="K80" s="1025">
        <v>108.29671100000004</v>
      </c>
      <c r="L80" s="709">
        <v>50.334912559001594</v>
      </c>
    </row>
    <row r="81" spans="1:12" ht="18.75" customHeight="1" hidden="1">
      <c r="A81" s="409"/>
      <c r="B81" s="448" t="s">
        <v>77</v>
      </c>
      <c r="C81" s="199"/>
      <c r="D81" s="640" t="s">
        <v>16</v>
      </c>
      <c r="E81" s="127"/>
      <c r="F81" s="739">
        <v>0</v>
      </c>
      <c r="G81" s="127">
        <v>0</v>
      </c>
      <c r="H81" s="739">
        <v>0</v>
      </c>
      <c r="I81" s="1010">
        <v>0</v>
      </c>
      <c r="J81" s="709" t="e">
        <v>#DIV/0!</v>
      </c>
      <c r="K81" s="1025">
        <v>0</v>
      </c>
      <c r="L81" s="709" t="e">
        <v>#DIV/0!</v>
      </c>
    </row>
    <row r="82" spans="1:12" ht="13.5" customHeight="1">
      <c r="A82" s="409"/>
      <c r="B82" s="448" t="s">
        <v>77</v>
      </c>
      <c r="C82" s="199"/>
      <c r="D82" s="645" t="s">
        <v>17</v>
      </c>
      <c r="E82" s="755">
        <v>174.97875</v>
      </c>
      <c r="F82" s="200">
        <v>837.955506</v>
      </c>
      <c r="G82" s="755">
        <v>132.431178</v>
      </c>
      <c r="H82" s="200">
        <v>823.099688</v>
      </c>
      <c r="I82" s="1010">
        <v>42.547572</v>
      </c>
      <c r="J82" s="709">
        <v>32.12806277385829</v>
      </c>
      <c r="K82" s="1025">
        <v>14.855818</v>
      </c>
      <c r="L82" s="709">
        <v>1.8048625478278524</v>
      </c>
    </row>
    <row r="83" spans="1:12" ht="13.5" customHeight="1">
      <c r="A83" s="409"/>
      <c r="B83" s="448" t="s">
        <v>78</v>
      </c>
      <c r="C83" s="199"/>
      <c r="D83" s="640" t="s">
        <v>3</v>
      </c>
      <c r="E83" s="127">
        <v>11.132174</v>
      </c>
      <c r="F83" s="200">
        <v>395.59944299999995</v>
      </c>
      <c r="G83" s="127">
        <v>15.306504</v>
      </c>
      <c r="H83" s="200">
        <v>444.311094</v>
      </c>
      <c r="I83" s="1010">
        <v>-4.174330000000001</v>
      </c>
      <c r="J83" s="709">
        <v>-27.271609506651558</v>
      </c>
      <c r="K83" s="1025">
        <v>-48.711651000000074</v>
      </c>
      <c r="L83" s="709">
        <v>-10.963410920367451</v>
      </c>
    </row>
    <row r="84" spans="1:12" ht="18" customHeight="1">
      <c r="A84" s="409"/>
      <c r="B84" s="448" t="s">
        <v>168</v>
      </c>
      <c r="C84" s="199"/>
      <c r="D84" s="641" t="s">
        <v>149</v>
      </c>
      <c r="E84" s="127">
        <v>117.163714</v>
      </c>
      <c r="F84" s="200">
        <v>981.804033</v>
      </c>
      <c r="G84" s="127">
        <v>92.461883</v>
      </c>
      <c r="H84" s="200">
        <v>909.56648</v>
      </c>
      <c r="I84" s="1010">
        <v>24.701831</v>
      </c>
      <c r="J84" s="709">
        <v>26.715691048602167</v>
      </c>
      <c r="K84" s="1025">
        <v>72.23755300000005</v>
      </c>
      <c r="L84" s="709">
        <v>7.941976159895432</v>
      </c>
    </row>
    <row r="85" spans="1:12" s="48" customFormat="1" ht="13.5" customHeight="1" hidden="1">
      <c r="A85" s="595"/>
      <c r="B85" s="699" t="s">
        <v>80</v>
      </c>
      <c r="C85" s="700"/>
      <c r="D85" s="643" t="s">
        <v>150</v>
      </c>
      <c r="E85" s="755"/>
      <c r="F85" s="200"/>
      <c r="G85" s="755">
        <v>0</v>
      </c>
      <c r="H85" s="200">
        <v>0</v>
      </c>
      <c r="I85" s="1010">
        <v>0</v>
      </c>
      <c r="J85" s="709" t="e">
        <v>#DIV/0!</v>
      </c>
      <c r="K85" s="1025">
        <v>0</v>
      </c>
      <c r="L85" s="709" t="e">
        <v>#DIV/0!</v>
      </c>
    </row>
    <row r="86" spans="1:12" ht="15" customHeight="1">
      <c r="A86" s="409"/>
      <c r="B86" s="696" t="s">
        <v>79</v>
      </c>
      <c r="C86" s="469"/>
      <c r="D86" s="697" t="s">
        <v>37</v>
      </c>
      <c r="E86" s="756">
        <v>49.164067</v>
      </c>
      <c r="F86" s="975">
        <v>956.927933</v>
      </c>
      <c r="G86" s="756">
        <v>46.814259</v>
      </c>
      <c r="H86" s="975">
        <v>843.4391009999999</v>
      </c>
      <c r="I86" s="1010">
        <v>2.349808000000003</v>
      </c>
      <c r="J86" s="709">
        <v>5.019427948224077</v>
      </c>
      <c r="K86" s="1025">
        <v>113.48883200000012</v>
      </c>
      <c r="L86" s="709">
        <v>13.455486218915553</v>
      </c>
    </row>
    <row r="87" spans="1:12" ht="16.5" customHeight="1">
      <c r="A87" s="409"/>
      <c r="B87" s="448" t="s">
        <v>80</v>
      </c>
      <c r="C87" s="199"/>
      <c r="D87" s="634" t="s">
        <v>166</v>
      </c>
      <c r="E87" s="99">
        <v>0</v>
      </c>
      <c r="F87" s="326"/>
      <c r="G87" s="127">
        <v>0</v>
      </c>
      <c r="H87" s="200">
        <v>0.016332</v>
      </c>
      <c r="I87" s="1010"/>
      <c r="J87" s="709"/>
      <c r="K87" s="1025">
        <v>-0.016332</v>
      </c>
      <c r="L87" s="709"/>
    </row>
    <row r="88" spans="1:12" ht="16.5" customHeight="1">
      <c r="A88" s="409"/>
      <c r="B88" s="448" t="s">
        <v>123</v>
      </c>
      <c r="C88" s="199"/>
      <c r="D88" s="397" t="s">
        <v>167</v>
      </c>
      <c r="E88" s="99">
        <v>0</v>
      </c>
      <c r="F88" s="200">
        <v>8.936518</v>
      </c>
      <c r="G88" s="99"/>
      <c r="H88" s="326"/>
      <c r="I88" s="1010"/>
      <c r="J88" s="709"/>
      <c r="K88" s="1025">
        <v>8.936518</v>
      </c>
      <c r="L88" s="709"/>
    </row>
    <row r="89" spans="1:12" ht="27.75" customHeight="1">
      <c r="A89" s="409"/>
      <c r="B89" s="448" t="s">
        <v>169</v>
      </c>
      <c r="C89" s="199"/>
      <c r="D89" s="998" t="s">
        <v>181</v>
      </c>
      <c r="E89" s="1035">
        <v>0</v>
      </c>
      <c r="F89" s="200">
        <v>29.028867</v>
      </c>
      <c r="G89" s="1035">
        <v>0</v>
      </c>
      <c r="H89" s="1042">
        <v>0</v>
      </c>
      <c r="I89" s="1010"/>
      <c r="J89" s="709"/>
      <c r="K89" s="1025">
        <v>29.028867</v>
      </c>
      <c r="L89" s="709"/>
    </row>
    <row r="90" spans="1:34" s="66" customFormat="1" ht="22.5" customHeight="1">
      <c r="A90" s="592">
        <v>9</v>
      </c>
      <c r="B90" s="1048" t="s">
        <v>165</v>
      </c>
      <c r="C90" s="1049"/>
      <c r="D90" s="1050"/>
      <c r="E90" s="158">
        <v>625.911422</v>
      </c>
      <c r="F90" s="724">
        <v>6040.339130000001</v>
      </c>
      <c r="G90" s="130">
        <v>601.1641720000001</v>
      </c>
      <c r="H90" s="173">
        <v>6206.871872</v>
      </c>
      <c r="I90" s="796">
        <v>24.747249999999894</v>
      </c>
      <c r="J90" s="797">
        <v>4.116554371107782</v>
      </c>
      <c r="K90" s="1026">
        <v>-166.5327419999985</v>
      </c>
      <c r="L90" s="797">
        <v>-2.6830381782367567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</row>
    <row r="91" spans="1:34" s="66" customFormat="1" ht="19.5" customHeight="1">
      <c r="A91" s="592">
        <v>10</v>
      </c>
      <c r="B91" s="660" t="s">
        <v>132</v>
      </c>
      <c r="C91" s="323"/>
      <c r="D91" s="693" t="s">
        <v>180</v>
      </c>
      <c r="E91" s="1036">
        <v>0</v>
      </c>
      <c r="F91" s="976">
        <v>7.711111</v>
      </c>
      <c r="G91" s="158">
        <v>5.343357999999999</v>
      </c>
      <c r="H91" s="724">
        <v>70.502762</v>
      </c>
      <c r="I91" s="796">
        <v>-5.343357999999999</v>
      </c>
      <c r="J91" s="797"/>
      <c r="K91" s="1026">
        <v>-62.791651</v>
      </c>
      <c r="L91" s="797">
        <v>-89.06268239533651</v>
      </c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</row>
    <row r="92" spans="1:12" ht="15.75" customHeight="1">
      <c r="A92" s="409"/>
      <c r="B92" s="448" t="s">
        <v>81</v>
      </c>
      <c r="C92" s="176"/>
      <c r="D92" s="694" t="s">
        <v>83</v>
      </c>
      <c r="E92" s="1035">
        <v>0</v>
      </c>
      <c r="F92" s="977">
        <v>7.496148</v>
      </c>
      <c r="G92" s="127">
        <v>5.2151879999999995</v>
      </c>
      <c r="H92" s="200">
        <v>69.368112</v>
      </c>
      <c r="I92" s="1010">
        <v>-5.2151879999999995</v>
      </c>
      <c r="J92" s="709"/>
      <c r="K92" s="1025">
        <v>-61.871964</v>
      </c>
      <c r="L92" s="709">
        <v>-89.19366869895492</v>
      </c>
    </row>
    <row r="93" spans="1:12" ht="14.25" customHeight="1">
      <c r="A93" s="409"/>
      <c r="B93" s="448" t="s">
        <v>82</v>
      </c>
      <c r="C93" s="176"/>
      <c r="D93" s="997" t="s">
        <v>174</v>
      </c>
      <c r="E93" s="1035">
        <v>0</v>
      </c>
      <c r="F93" s="977">
        <v>0.214963</v>
      </c>
      <c r="G93" s="127">
        <v>0.12817</v>
      </c>
      <c r="H93" s="200">
        <v>1.1346500000000002</v>
      </c>
      <c r="I93" s="1010">
        <v>-0.12817</v>
      </c>
      <c r="J93" s="709"/>
      <c r="K93" s="1025">
        <v>-0.9196870000000001</v>
      </c>
      <c r="L93" s="709">
        <v>-81.05468646719252</v>
      </c>
    </row>
    <row r="94" spans="1:12" ht="12.75" customHeight="1" hidden="1">
      <c r="A94" s="595"/>
      <c r="B94" s="669" t="s">
        <v>86</v>
      </c>
      <c r="C94" s="186"/>
      <c r="D94" s="695" t="s">
        <v>87</v>
      </c>
      <c r="E94" s="950">
        <v>0</v>
      </c>
      <c r="F94" s="978">
        <v>0</v>
      </c>
      <c r="G94" s="757">
        <v>0</v>
      </c>
      <c r="H94" s="1020">
        <v>0</v>
      </c>
      <c r="I94" s="1010">
        <v>0</v>
      </c>
      <c r="J94" s="709" t="e">
        <v>#DIV/0!</v>
      </c>
      <c r="K94" s="1025">
        <v>0</v>
      </c>
      <c r="L94" s="709" t="e">
        <v>#DIV/0!</v>
      </c>
    </row>
    <row r="95" spans="1:12" ht="36.75" customHeight="1">
      <c r="A95" s="1005" t="s">
        <v>175</v>
      </c>
      <c r="B95" s="1086" t="s">
        <v>182</v>
      </c>
      <c r="C95" s="1086"/>
      <c r="D95" s="1087"/>
      <c r="E95" s="951">
        <v>6.362007999999999</v>
      </c>
      <c r="F95" s="985">
        <v>23.891344</v>
      </c>
      <c r="G95" s="1036">
        <v>0</v>
      </c>
      <c r="H95" s="1041">
        <v>0</v>
      </c>
      <c r="I95" s="796">
        <v>6.362007999999999</v>
      </c>
      <c r="J95" s="797"/>
      <c r="K95" s="1026">
        <v>23.891344</v>
      </c>
      <c r="L95" s="797"/>
    </row>
    <row r="96" spans="1:12" ht="14.25" customHeight="1">
      <c r="A96" s="1006"/>
      <c r="B96" s="995" t="s">
        <v>170</v>
      </c>
      <c r="C96" s="994"/>
      <c r="D96" s="997" t="s">
        <v>172</v>
      </c>
      <c r="E96" s="950">
        <v>6.232644</v>
      </c>
      <c r="F96" s="978">
        <v>25.011624</v>
      </c>
      <c r="G96" s="1035">
        <v>0</v>
      </c>
      <c r="H96" s="1042">
        <v>0</v>
      </c>
      <c r="I96" s="1010">
        <v>6.232644</v>
      </c>
      <c r="J96" s="709"/>
      <c r="K96" s="1025">
        <v>25.011624</v>
      </c>
      <c r="L96" s="709"/>
    </row>
    <row r="97" spans="1:12" ht="15.75" customHeight="1">
      <c r="A97" s="1006"/>
      <c r="B97" s="996" t="s">
        <v>171</v>
      </c>
      <c r="C97" s="186"/>
      <c r="D97" s="997" t="s">
        <v>173</v>
      </c>
      <c r="E97" s="950">
        <v>0.129364</v>
      </c>
      <c r="F97" s="978">
        <v>-1.12028</v>
      </c>
      <c r="G97" s="1035">
        <v>0</v>
      </c>
      <c r="H97" s="1042">
        <v>0</v>
      </c>
      <c r="I97" s="1010">
        <v>0.129364</v>
      </c>
      <c r="J97" s="709"/>
      <c r="K97" s="1025">
        <v>-1.12028</v>
      </c>
      <c r="L97" s="709"/>
    </row>
    <row r="98" spans="1:34" s="802" customFormat="1" ht="18.75" customHeight="1">
      <c r="A98" s="596">
        <v>11</v>
      </c>
      <c r="B98" s="652" t="s">
        <v>176</v>
      </c>
      <c r="C98" s="322"/>
      <c r="D98" s="898"/>
      <c r="E98" s="951">
        <v>619.5494140000001</v>
      </c>
      <c r="F98" s="985">
        <v>5915.017022</v>
      </c>
      <c r="G98" s="899">
        <v>595.8208140000002</v>
      </c>
      <c r="H98" s="724">
        <v>6050.393837</v>
      </c>
      <c r="I98" s="796">
        <v>23.728599999999915</v>
      </c>
      <c r="J98" s="797">
        <v>3.982506055923025</v>
      </c>
      <c r="K98" s="1026">
        <v>-135.37681499999962</v>
      </c>
      <c r="L98" s="797">
        <v>-2.237487651995963</v>
      </c>
      <c r="M98" s="993"/>
      <c r="N98" s="993"/>
      <c r="O98" s="993"/>
      <c r="P98" s="993"/>
      <c r="Q98" s="993"/>
      <c r="R98" s="993"/>
      <c r="S98" s="993"/>
      <c r="T98" s="993"/>
      <c r="U98" s="993"/>
      <c r="V98" s="991"/>
      <c r="W98" s="991"/>
      <c r="X98" s="991"/>
      <c r="Y98" s="991"/>
      <c r="Z98" s="991"/>
      <c r="AA98" s="991"/>
      <c r="AB98" s="991"/>
      <c r="AC98" s="991"/>
      <c r="AD98" s="991"/>
      <c r="AE98" s="991"/>
      <c r="AF98" s="991"/>
      <c r="AG98" s="991"/>
      <c r="AH98" s="991"/>
    </row>
    <row r="99" spans="1:19" ht="18" customHeight="1" thickBot="1">
      <c r="A99" s="999">
        <v>12</v>
      </c>
      <c r="B99" s="900" t="s">
        <v>120</v>
      </c>
      <c r="C99" s="901"/>
      <c r="D99" s="902"/>
      <c r="E99" s="1040">
        <v>0</v>
      </c>
      <c r="F99" s="984">
        <v>93.711401</v>
      </c>
      <c r="G99" s="992">
        <v>0</v>
      </c>
      <c r="H99" s="877">
        <v>85.975273</v>
      </c>
      <c r="I99" s="1039">
        <v>0</v>
      </c>
      <c r="J99" s="798"/>
      <c r="K99" s="1028">
        <v>7.736127999999994</v>
      </c>
      <c r="L99" s="798">
        <v>8.998084833065903</v>
      </c>
      <c r="Q99" s="993"/>
      <c r="R99" s="993"/>
      <c r="S99" s="993"/>
    </row>
    <row r="100" spans="2:8" ht="15.75" customHeight="1">
      <c r="B100" s="54"/>
      <c r="C100" s="54"/>
      <c r="D100" s="18"/>
      <c r="E100" s="18"/>
      <c r="F100" s="18"/>
      <c r="G100" s="62"/>
      <c r="H100" s="64"/>
    </row>
    <row r="101" spans="2:6" ht="15.75" customHeight="1">
      <c r="B101" s="71"/>
      <c r="C101" s="71"/>
      <c r="D101" s="72"/>
      <c r="E101" s="982"/>
      <c r="F101" s="982"/>
    </row>
    <row r="102" spans="2:8" ht="15.75" customHeight="1">
      <c r="B102" s="70"/>
      <c r="C102" s="70"/>
      <c r="D102" s="70"/>
      <c r="E102" s="953"/>
      <c r="F102" s="1003"/>
      <c r="H102" s="197"/>
    </row>
    <row r="103" spans="2:8" ht="18" customHeight="1" hidden="1">
      <c r="B103" s="70"/>
      <c r="C103" s="70"/>
      <c r="D103" s="70"/>
      <c r="E103" s="953"/>
      <c r="F103" s="721"/>
      <c r="H103" s="20"/>
    </row>
    <row r="104" spans="2:8" ht="18" customHeight="1" hidden="1">
      <c r="B104" s="70"/>
      <c r="C104" s="70"/>
      <c r="D104" s="70"/>
      <c r="E104" s="953"/>
      <c r="F104" s="721"/>
      <c r="H104" s="21"/>
    </row>
    <row r="105" spans="2:8" ht="18" customHeight="1" hidden="1">
      <c r="B105" s="70"/>
      <c r="C105" s="70"/>
      <c r="D105" s="70"/>
      <c r="E105" s="953"/>
      <c r="F105" s="721"/>
      <c r="H105" s="21"/>
    </row>
    <row r="106" spans="2:8" ht="15" customHeight="1">
      <c r="B106" s="71"/>
      <c r="C106" s="71"/>
      <c r="D106" s="72"/>
      <c r="E106" s="2"/>
      <c r="F106" s="980"/>
      <c r="H106" s="20"/>
    </row>
    <row r="107" spans="2:8" ht="12.75">
      <c r="B107" s="67" t="s">
        <v>108</v>
      </c>
      <c r="C107" s="67"/>
      <c r="D107" s="73"/>
      <c r="E107" s="73"/>
      <c r="F107" s="1004"/>
      <c r="H107" s="20"/>
    </row>
    <row r="108" spans="2:8" ht="12.75">
      <c r="B108" s="54" t="s">
        <v>102</v>
      </c>
      <c r="C108" s="54"/>
      <c r="F108" s="1000"/>
      <c r="G108" s="7"/>
      <c r="H108" s="28"/>
    </row>
    <row r="109" spans="4:8" ht="12.75">
      <c r="D109" s="2"/>
      <c r="E109" s="2"/>
      <c r="F109" s="1000"/>
      <c r="G109" s="7"/>
      <c r="H109" s="1001"/>
    </row>
    <row r="110" spans="6:8" ht="12.75">
      <c r="F110" s="1000"/>
      <c r="G110" s="7"/>
      <c r="H110" s="7"/>
    </row>
    <row r="111" spans="1:8" ht="12.75">
      <c r="A111" s="1"/>
      <c r="B111" s="10"/>
      <c r="C111" s="10"/>
      <c r="D111" s="1"/>
      <c r="E111" s="763"/>
      <c r="F111" s="1000"/>
      <c r="G111" s="28"/>
      <c r="H111" s="7"/>
    </row>
    <row r="112" spans="1:8" ht="12.75">
      <c r="A112" s="1"/>
      <c r="B112" s="10"/>
      <c r="C112" s="10"/>
      <c r="D112" s="1"/>
      <c r="E112" s="1"/>
      <c r="F112" s="1"/>
      <c r="G112" s="7"/>
      <c r="H112" s="7"/>
    </row>
    <row r="113" spans="6:8" ht="12.75">
      <c r="F113" s="983"/>
      <c r="G113" s="7"/>
      <c r="H113" s="7"/>
    </row>
    <row r="114" spans="6:8" ht="12.75">
      <c r="F114" s="891"/>
      <c r="G114" s="7"/>
      <c r="H114" s="7"/>
    </row>
    <row r="115" spans="7:8" ht="12.75">
      <c r="G115" s="7"/>
      <c r="H115" s="7"/>
    </row>
    <row r="116" spans="7:8" ht="12.75">
      <c r="G116" s="7"/>
      <c r="H116" s="7"/>
    </row>
    <row r="117" spans="7:8" ht="12" customHeight="1">
      <c r="G117" s="7"/>
      <c r="H117" s="7"/>
    </row>
    <row r="118" spans="7:8" ht="12.75">
      <c r="G118" s="7"/>
      <c r="H118" s="1002"/>
    </row>
    <row r="119" spans="7:8" ht="12.75">
      <c r="G119" s="7"/>
      <c r="H119" s="7"/>
    </row>
    <row r="122" ht="12" customHeight="1"/>
  </sheetData>
  <sheetProtection/>
  <mergeCells count="15">
    <mergeCell ref="E5:F5"/>
    <mergeCell ref="B95:D95"/>
    <mergeCell ref="B32:D32"/>
    <mergeCell ref="B90:D90"/>
    <mergeCell ref="B9:D9"/>
    <mergeCell ref="A2:L2"/>
    <mergeCell ref="B22:D22"/>
    <mergeCell ref="B70:D70"/>
    <mergeCell ref="B59:D59"/>
    <mergeCell ref="G5:H5"/>
    <mergeCell ref="B5:D7"/>
    <mergeCell ref="A3:L3"/>
    <mergeCell ref="I5:L5"/>
    <mergeCell ref="I6:J6"/>
    <mergeCell ref="K6:L6"/>
  </mergeCells>
  <printOptions/>
  <pageMargins left="0.17" right="0.1968503937007874" top="0.15748031496062992" bottom="0.15748031496062992" header="0.15748031496062992" footer="0.15748031496062992"/>
  <pageSetup fitToHeight="2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Harut Gabrielyan</dc:creator>
  <cp:keywords/>
  <dc:description/>
  <cp:lastModifiedBy>NAIRA AGHABABYAN</cp:lastModifiedBy>
  <cp:lastPrinted>2017-01-13T12:10:34Z</cp:lastPrinted>
  <dcterms:created xsi:type="dcterms:W3CDTF">2009-02-09T08:26:54Z</dcterms:created>
  <dcterms:modified xsi:type="dcterms:W3CDTF">2017-01-17T12:24:21Z</dcterms:modified>
  <cp:category/>
  <cp:version/>
  <cp:contentType/>
  <cp:contentStatus/>
</cp:coreProperties>
</file>